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2"/>
  </bookViews>
  <sheets>
    <sheet name="Plano" sheetId="1" r:id="rId1"/>
    <sheet name="Dívida" sheetId="2" r:id="rId2"/>
    <sheet name="Projeções" sheetId="3" r:id="rId3"/>
    <sheet name="Parâmetros" sheetId="4" r:id="rId4"/>
    <sheet name="Metas" sheetId="5" r:id="rId5"/>
    <sheet name="MetasRPPS" sheetId="6" r:id="rId6"/>
    <sheet name="Metas PREF " sheetId="7" r:id="rId7"/>
    <sheet name=" Avaliação" sheetId="8" r:id="rId8"/>
    <sheet name="Comparação" sheetId="9" r:id="rId9"/>
    <sheet name=" Patrimônio" sheetId="10" r:id="rId10"/>
    <sheet name=" Alienação" sheetId="11" r:id="rId11"/>
    <sheet name="RPPS-Financeiro" sheetId="12" r:id="rId12"/>
    <sheet name="RPPS-Atuarial" sheetId="13" r:id="rId13"/>
    <sheet name="Renúncia" sheetId="14" r:id="rId14"/>
    <sheet name="DOCC" sheetId="15" r:id="rId15"/>
    <sheet name="Anexo Riscos" sheetId="16" r:id="rId16"/>
  </sheets>
  <definedNames>
    <definedName name="_xlnm.Print_Area" localSheetId="3">'Parâmetros'!$A$7:$G$65</definedName>
    <definedName name="_xlnm.Print_Area" localSheetId="2">'Projeções'!$A$1:$J$90</definedName>
    <definedName name="Z_16B3F100_CCE8_11D8_BD62_000C6E3CD3F1_.wvu.Cols" localSheetId="3" hidden="1">'Parâmetros'!$C:$C,'Parâmetros'!#REF!</definedName>
    <definedName name="Z_16B3F100_CCE8_11D8_BD62_000C6E3CD3F1_.wvu.Rows" localSheetId="1" hidden="1">'Dívida'!$22:$22,'Dívida'!#REF!</definedName>
    <definedName name="Z_16B3F100_CCE8_11D8_BD62_000C6E3CD3F1_.wvu.Rows" localSheetId="3" hidden="1">'Parâmetros'!$1:$6,'Parâmetros'!#REF!,'Parâmetros'!$13:$13</definedName>
  </definedNames>
  <calcPr fullCalcOnLoad="1"/>
</workbook>
</file>

<file path=xl/sharedStrings.xml><?xml version="1.0" encoding="utf-8"?>
<sst xmlns="http://schemas.openxmlformats.org/spreadsheetml/2006/main" count="673" uniqueCount="370">
  <si>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</si>
  <si>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</si>
  <si>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</si>
  <si>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</si>
  <si>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</si>
  <si>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</si>
  <si>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</si>
  <si>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</si>
  <si>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</si>
  <si>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</si>
  <si>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</si>
  <si>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</si>
  <si>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</si>
  <si>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</si>
  <si>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</si>
  <si>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</si>
  <si>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</si>
  <si>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</si>
  <si>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</si>
  <si>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</si>
  <si>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</si>
  <si>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</si>
  <si>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</si>
  <si>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</si>
  <si>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</si>
  <si>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</si>
  <si>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</si>
  <si>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</si>
  <si>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</si>
  <si>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</si>
  <si>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</si>
  <si>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</si>
  <si>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</si>
  <si>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</si>
  <si>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</si>
  <si>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</si>
  <si>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</si>
  <si>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</si>
  <si>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</si>
  <si>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</si>
  <si>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</si>
  <si>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</si>
  <si>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</si>
  <si>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</si>
  <si>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</si>
  <si>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</si>
  <si>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</si>
  <si>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</si>
  <si>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</si>
  <si>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</si>
  <si>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</si>
  <si>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</si>
  <si>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</si>
  <si>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</si>
  <si>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</si>
  <si>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</si>
  <si>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</si>
  <si>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</si>
  <si>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</si>
  <si>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</si>
  <si>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</si>
  <si>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</si>
  <si>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</si>
  <si>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</si>
  <si>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</si>
  <si>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</si>
  <si>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</si>
  <si>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</si>
  <si>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</si>
  <si>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</si>
  <si>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</si>
  <si>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</si>
  <si>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</si>
  <si>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</si>
  <si>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</si>
  <si>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</si>
  <si>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</si>
  <si>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</si>
  <si>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</si>
  <si>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</si>
  <si>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</si>
  <si>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</si>
  <si>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</si>
  <si>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</si>
  <si>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</si>
  <si>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</si>
  <si>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</si>
  <si>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</si>
  <si>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</si>
  <si>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</si>
  <si>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</si>
  <si>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</si>
  <si>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</si>
  <si>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</si>
  <si>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</si>
  <si>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</si>
  <si>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</si>
  <si>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</si>
  <si>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</si>
  <si>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</si>
  <si>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</si>
  <si>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</si>
  <si>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</si>
  <si>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</si>
  <si>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</si>
  <si>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</si>
  <si>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Resultado Primário (I – II)</t>
  </si>
  <si>
    <t xml:space="preserve">Variação </t>
  </si>
  <si>
    <t>%               (c/a) x 100</t>
  </si>
  <si>
    <t>Resultado Primário (I–II)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</si>
  <si>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</si>
  <si>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</si>
  <si>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</si>
  <si>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</si>
  <si>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</si>
  <si>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</si>
  <si>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</si>
  <si>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</si>
  <si>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</si>
  <si>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</si>
  <si>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</si>
  <si>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</si>
  <si>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</si>
  <si>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</si>
  <si>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</si>
  <si>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</si>
  <si>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</si>
  <si>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</si>
  <si>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</si>
  <si>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</si>
  <si>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</si>
  <si>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</si>
  <si>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</si>
  <si>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</si>
  <si>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</si>
  <si>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</si>
  <si>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</si>
  <si>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RECEITAS PREVIDENCIÁRIAS</t>
  </si>
  <si>
    <t xml:space="preserve">      Pessoal Civil</t>
  </si>
  <si>
    <t>DESPESAS PREVIDENCIÁRIAS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</si>
  <si>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</si>
  <si>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</si>
  <si>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</si>
  <si>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</si>
  <si>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</si>
  <si>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</si>
  <si>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</si>
  <si>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</si>
  <si>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</si>
  <si>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</si>
  <si>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</si>
  <si>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</si>
  <si>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RISCOS FISCAIS</t>
  </si>
  <si>
    <t>PROVIDÊNCIAS</t>
  </si>
  <si>
    <t>Descrição</t>
  </si>
  <si>
    <t>I-Metas Previstas em</t>
  </si>
  <si>
    <t>II-Metas Realizadas em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</si>
  <si>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</si>
  <si>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</si>
  <si>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</si>
  <si>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</si>
  <si>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</si>
  <si>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</si>
  <si>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</si>
  <si>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</si>
  <si>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</si>
  <si>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</si>
  <si>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ANEXO I - METAS FISCAIS</t>
  </si>
  <si>
    <t xml:space="preserve">  Receitas Primárias (I)</t>
  </si>
  <si>
    <t>Despesas Primárias (II)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</si>
  <si>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</si>
  <si>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</si>
  <si>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</si>
  <si>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</si>
  <si>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</si>
  <si>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</si>
  <si>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</si>
  <si>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</si>
  <si>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</si>
  <si>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</si>
  <si>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</si>
  <si>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</si>
  <si>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</si>
  <si>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</si>
  <si>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</si>
  <si>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</si>
  <si>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</si>
  <si>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</si>
  <si>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</si>
  <si>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t>9.0.00.00.00.00.00</t>
  </si>
  <si>
    <t>RESERVA DE CONTINGÊNCIA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</si>
  <si>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</si>
  <si>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</si>
  <si>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</si>
  <si>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</si>
  <si>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</si>
  <si>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</si>
  <si>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>ANEXO II - RISCOS FISCAIS</t>
  </si>
  <si>
    <t>PREVISÕES DA LEI DE ORÇAMENTO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</si>
  <si>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</si>
  <si>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</si>
  <si>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</si>
  <si>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</si>
  <si>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 xml:space="preserve">DEMONSTRATIVO DA MARGEM DE EXPANSÃO DAS DESPESAS OBRIGATÓRIAS DE CARÁTER CONTINUADO  </t>
  </si>
  <si>
    <t>Receita Prevista (já deduzido o FUNDEF)</t>
  </si>
  <si>
    <t>Outras Inversões Financeiras</t>
  </si>
  <si>
    <t>da Prefeitura Municipal</t>
  </si>
  <si>
    <t>Rendimento de Aplicações Financeira de Alienaç de Bens</t>
  </si>
  <si>
    <t xml:space="preserve">CRESCIMENTO DOS INVESTIMENTOS </t>
  </si>
  <si>
    <t>Taxa de Juros (Selic Real)</t>
  </si>
  <si>
    <t>Execício</t>
  </si>
  <si>
    <t>Exercício</t>
  </si>
  <si>
    <t>TABELA 02 - Demonstraitvo da Evolução da Dívida e Resultado Nominal</t>
  </si>
  <si>
    <t>(-)  Transferências ao FUNDEB</t>
  </si>
  <si>
    <t>Receitas de Contribuições -   P M</t>
  </si>
  <si>
    <t>1.2.0.0.0.0.0.0.0.0.0</t>
  </si>
  <si>
    <t>Rendimentos de Aplicações - PM</t>
  </si>
  <si>
    <t>Outras Receitas Correntes -  P M</t>
  </si>
  <si>
    <t>7.2.1.0.00.00.00.00</t>
  </si>
  <si>
    <t>Receita de Contribuições  -  R P P S  (Fonte 0050)</t>
  </si>
  <si>
    <t>Rendimentos de Aplicações - RPPS (Fonte 0050)</t>
  </si>
  <si>
    <t>Outras Receitas Correntes - R P P S (Fonte 0050)</t>
  </si>
  <si>
    <t>Receitas Intra Orçamentárias - RPPS (Fonte 0050)</t>
  </si>
  <si>
    <t>Pessoal  Próprio</t>
  </si>
  <si>
    <t>Pessoal  do  R P P S  (Fonte 0050)</t>
  </si>
  <si>
    <t>Outras Despesas Correntes</t>
  </si>
  <si>
    <t>Outras Despesas Corrente  RPPS (Fonte 0050)</t>
  </si>
  <si>
    <t>Juros e encargos da Dívida RPPS  (Fonte 0050)</t>
  </si>
  <si>
    <t>7.7.99.99.99.99.99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</si>
  <si>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</si>
  <si>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</si>
  <si>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</si>
  <si>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</si>
  <si>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</si>
  <si>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</si>
  <si>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>DEMONSTRATIVO DAS METAS ANUAIS - CONSOLIDADO</t>
  </si>
  <si>
    <t>DEMONSTRATIVO DAS METAS DE RESULTADO PRIMÁRIO DO PREGIME PRÓPRIO DE PREVIDÊNCIA SOCIAL</t>
  </si>
  <si>
    <t>DEMONSTRATIVO DAS METAS DE RESULTADO PRIMÁRIO (EXCLUÍDAS A RECEITAS E DESPESAS DO RPPS)</t>
  </si>
  <si>
    <t xml:space="preserve">  Receita Total </t>
  </si>
  <si>
    <t xml:space="preserve"> Despesa Total </t>
  </si>
  <si>
    <t>Despesas Primárias  (II)</t>
  </si>
  <si>
    <t xml:space="preserve">Operações de Crédito / Pagamentos </t>
  </si>
  <si>
    <t>ANEXO DE  METAS FISCAIS</t>
  </si>
  <si>
    <t xml:space="preserve">   RECEITAS CORRENTES</t>
  </si>
  <si>
    <t xml:space="preserve">      Receita de Contribuições</t>
  </si>
  <si>
    <t xml:space="preserve">         Pessoal Civil</t>
  </si>
  <si>
    <t xml:space="preserve">         Pessoal Militar</t>
  </si>
  <si>
    <t xml:space="preserve">      Receita Patrimonial</t>
  </si>
  <si>
    <t xml:space="preserve">      Receita de Serviços </t>
  </si>
  <si>
    <t xml:space="preserve">      Outras Receitas Correntes</t>
  </si>
  <si>
    <t xml:space="preserve">         Compensação Previdenciária do RGPS para o RPPS</t>
  </si>
  <si>
    <t xml:space="preserve">         Outras Receitas Correntes</t>
  </si>
  <si>
    <t xml:space="preserve">   RECEITAS DE CAPITAL</t>
  </si>
  <si>
    <t xml:space="preserve">      Amortização de Empréstimos</t>
  </si>
  <si>
    <t xml:space="preserve">      Outras Receitas de Capital</t>
  </si>
  <si>
    <t xml:space="preserve">   ADMINISTRAÇÃO</t>
  </si>
  <si>
    <t xml:space="preserve">      Despesas Correntes</t>
  </si>
  <si>
    <t xml:space="preserve">      Despesas de Capital</t>
  </si>
  <si>
    <t xml:space="preserve">      Pessoal Militar   </t>
  </si>
  <si>
    <t xml:space="preserve">      Outras Despesas Previdenciárias</t>
  </si>
  <si>
    <t xml:space="preserve">         Compensação Previdenciária do RPPS para o RGPS</t>
  </si>
  <si>
    <t xml:space="preserve">         Demais Despesas Previdenciárias</t>
  </si>
  <si>
    <t>PROJEÇÃO ATUARIAL DO RPPS</t>
  </si>
  <si>
    <t>AMF – Tabela 7 (LRF, art.4º, § 2º, inciso IV, alínea “a”)</t>
  </si>
  <si>
    <t>RESULTADO PREVIDENCIÁRIO</t>
  </si>
  <si>
    <t>DO EXERCÍCIO</t>
  </si>
  <si>
    <t>(c) = (a-b)</t>
  </si>
  <si>
    <t>(d) = (d Exercício</t>
  </si>
  <si>
    <t>anterior) + (c)</t>
  </si>
  <si>
    <t xml:space="preserve"> (1) Dívida Consolidada </t>
  </si>
  <si>
    <t>(3) Dívida Consolidada Líquida</t>
  </si>
  <si>
    <t>(4) Passivos Reconhecidos</t>
  </si>
  <si>
    <t>(5) Dívida Fiscal Líquida</t>
  </si>
  <si>
    <t>(6) Resultado Nominal</t>
  </si>
  <si>
    <t>TABELA  01 - Parâmentos Utilizados nas Estimativas das Receitas e Despesas</t>
  </si>
  <si>
    <t>AMF - Tabela 8 (LRF, art. 4°, § 2°, inciso V)</t>
  </si>
  <si>
    <t>TRIBUTO</t>
  </si>
  <si>
    <t>MODALIDADE</t>
  </si>
  <si>
    <t>SETORES/ PROGRAMAS/ BENEFICIÁRIO</t>
  </si>
  <si>
    <t xml:space="preserve">          -</t>
  </si>
  <si>
    <t>AMF - Tabela 1 (LRF, art. 4º, § 1º)</t>
  </si>
  <si>
    <t>AMF - Tabela 2 (LRF, art. 4º, §2º, inciso I)</t>
  </si>
  <si>
    <t>AMF – Tabela 3 (LRF, art.4º, §2º, inciso II)</t>
  </si>
  <si>
    <t>AMF - Tabela 4 (LRF, art.4º, §2º, inciso III)</t>
  </si>
  <si>
    <t>AMF - Tabela 5 (LRF, art.4º, §2º, inciso III)</t>
  </si>
  <si>
    <t>AMF - Tabela 9 (LRF, art. 4°, § 2°, inciso V)</t>
  </si>
  <si>
    <t>ARF (LRF, art 4º, § 3º)</t>
  </si>
  <si>
    <t>Vide Obsevação</t>
  </si>
  <si>
    <t>abaixo</t>
  </si>
  <si>
    <t>PIB / RS (em R$ bilhões)</t>
  </si>
  <si>
    <t>ADMINISTRAÇÃO DIRETA E INDIRETA (EXCETO RPPS)</t>
  </si>
  <si>
    <t>CONSOLIDAÇÃO GERAL</t>
  </si>
  <si>
    <t>EXERCÍCIO DE 2010</t>
  </si>
  <si>
    <t>2008 (a)</t>
  </si>
  <si>
    <t>2008 (b)</t>
  </si>
  <si>
    <t xml:space="preserve"> EXERCÍCIO DE 2010</t>
  </si>
  <si>
    <t xml:space="preserve">EXERCÍCIO DE 2010 </t>
  </si>
  <si>
    <t>Exercício de 2010</t>
  </si>
  <si>
    <t>Obs:  1 -   Os valores da renúncia para 2010 foram previstos de acordo com informações do setor tributário</t>
  </si>
  <si>
    <t>Inflação projetada para 2011:</t>
  </si>
  <si>
    <t>LEI DE DIRETRIZES ORÇAMENTÁRIAS   2010</t>
  </si>
  <si>
    <t>Cronograma Anual de Operações Realizadas e do Serviço da Dívida</t>
  </si>
  <si>
    <t>1 - Operações de Crédito</t>
  </si>
  <si>
    <t xml:space="preserve">2 - Encargos </t>
  </si>
  <si>
    <t>3 -  Amortizações</t>
  </si>
  <si>
    <t>LEI DE DIRETRIZES ORÇAMENTÁRIAS  2010</t>
  </si>
  <si>
    <t>SALDOS DE EXERCÍCIOS ANTERIORES A 2006</t>
  </si>
  <si>
    <t>DESPESAS  EXECUTADAS</t>
  </si>
  <si>
    <t>Valor Previsto 2010</t>
  </si>
  <si>
    <t>RECEITAS E DESPESAS PREVIDENCIÁRIAS DO REGIME PRÓPRIO DE PREVIDÊNCIA DOS SERVIDORES</t>
  </si>
  <si>
    <t>AMF - Demonstrativo VI (LRF, art.4º, §2º, inciso IV, alínea "a")</t>
  </si>
  <si>
    <t>RECEITAS</t>
  </si>
  <si>
    <t>RECEITAS PREVIDENCIÁRIAS - RPPS (EXCETO INTRA-ORÇAMENTÁRIAS) (I)</t>
  </si>
  <si>
    <t xml:space="preserve">      Receita de Contribuições dos Segurados</t>
  </si>
  <si>
    <t xml:space="preserve">      Outras Receitas de Contribuições</t>
  </si>
  <si>
    <t xml:space="preserve">      Alienação de Bens, Direitos e Ativos</t>
  </si>
  <si>
    <t xml:space="preserve">   (–) DEDUÇÕES DA RECEITA</t>
  </si>
  <si>
    <t>RECEITAS PREVIDENCIÁRIAS - RPPS (INTRA-ORÇAMENTÁRIAS) (II)</t>
  </si>
  <si>
    <t xml:space="preserve">         Patronal</t>
  </si>
  <si>
    <t xml:space="preserve">            Pessoal Civil</t>
  </si>
  <si>
    <t xml:space="preserve">            Pessoal Militar</t>
  </si>
  <si>
    <t xml:space="preserve">         Cobertura de Déficit Atuarial</t>
  </si>
  <si>
    <t xml:space="preserve">         Regime de Débitos e Parcelamentos</t>
  </si>
  <si>
    <t>TOTAL DAS RECEITAS PREVIDENCIÁRIAS (III) = (I + II)</t>
  </si>
  <si>
    <t>DESPESAS</t>
  </si>
  <si>
    <t>DESPESAS PREVIDENCIÁRIAS - RPPS (EXCETO INTRA-ORÇAMENTÁRIAS) (IV)</t>
  </si>
  <si>
    <t xml:space="preserve">   PREVIDÊNCIA</t>
  </si>
  <si>
    <t>DESPESAS PREVIDENCIÁRIAS - RPPS (INTRA-ORÇAMENTÁRIAS) (V)</t>
  </si>
  <si>
    <t>TOTAL DAS DESPESAS PREVIDENCIÁRIAS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</si>
  <si>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</si>
  <si>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</si>
  <si>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</si>
  <si>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</si>
  <si>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</si>
  <si>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</si>
  <si>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</si>
  <si>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</si>
  <si>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</si>
  <si>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</si>
  <si>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BENS E DIREITOS DO RPPS</t>
  </si>
  <si>
    <t>Município de : J A G U A R I - RS</t>
  </si>
  <si>
    <t>Investimentos</t>
  </si>
  <si>
    <t>Investimentos  RPPS  (Fonte 0050)</t>
  </si>
  <si>
    <t>RELAÇÃO DE RECEITAS E DESPESAS</t>
  </si>
  <si>
    <r>
      <t>( - )</t>
    </r>
    <r>
      <rPr>
        <sz val="12"/>
        <rFont val="Arial"/>
        <family val="2"/>
      </rPr>
      <t xml:space="preserve"> DEDUÇÕES DA RECEITA</t>
    </r>
  </si>
  <si>
    <t>(2)  Disponibilidades Financ (Líq)</t>
  </si>
  <si>
    <t>Fonte: FUNPREV</t>
  </si>
  <si>
    <t> FONTE: SECRETARIA MUNICIPAL DE FINANÇAS</t>
  </si>
  <si>
    <t>FONTE: SECRETARIA MUNICIPAL DE FINANÇAS</t>
  </si>
  <si>
    <t>FONTE: FUNPREV</t>
  </si>
  <si>
    <t>Inflação projetada para 2012:</t>
  </si>
  <si>
    <t>DEMONSTRATIVO DA AVALIAÇÃO DO CUMPRIMENTO DAS METAS FISCAIS DO EXERCÍCIO ANTERIOR</t>
  </si>
  <si>
    <t>Dívida Consolidade Líquida</t>
  </si>
  <si>
    <t>INFLAÇÃO MÉDIA ANUAL   (I G P-M)</t>
  </si>
  <si>
    <t>Receitas Intra Orçamentárias-RPPS (Fonte 0050)</t>
  </si>
  <si>
    <t>Fonte: Secretaria Municipal de Finanças e Contadoria Geral do Município</t>
  </si>
  <si>
    <t xml:space="preserve">Dívida Pública Consolidada </t>
  </si>
  <si>
    <t xml:space="preserve">Dívida Consolidada Líquida </t>
  </si>
  <si>
    <t>Fonte: Contadoria Geral do Município e Secretaria Municipal de Finanças</t>
  </si>
  <si>
    <t>ANEXO I  - METAS FISCAIS</t>
  </si>
  <si>
    <t>O MUNICÍPIO DE JAGUARI, PARA O</t>
  </si>
  <si>
    <t>EXERCÍCIO DE 2010, NÃO APRESENTA</t>
  </si>
  <si>
    <t>RISCOS FISCAIS.</t>
  </si>
  <si>
    <t>2 - Os valores da renúncia projetados para 2011 e 2012, foram claculados a partir dos valores estimados para  2010,</t>
  </si>
  <si>
    <t>aplicando-se, sobre eles, as projeções de inflação para os referidos exercícios a saber:</t>
  </si>
  <si>
    <t>IPTU</t>
  </si>
  <si>
    <t>DIVERSOS</t>
  </si>
  <si>
    <t>DESCONTO</t>
  </si>
  <si>
    <t>ISENÇÃO</t>
  </si>
  <si>
    <t>TABELA 03 - MEMÓRIA DE CÁLCULO DAS RECEITAS E DESPESAS - LDO 2010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</si>
</sst>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_);[Red]\(0\)"/>
    <numFmt numFmtId="177" formatCode="#,##0.0"/>
    <numFmt numFmtId="178" formatCode="mmm\-yy"/>
    <numFmt numFmtId="179" formatCode="d/m"/>
    <numFmt numFmtId="180" formatCode="d/m/yy"/>
    <numFmt numFmtId="181" formatCode="mmmm\-yy"/>
    <numFmt numFmtId="182" formatCode="d\-mmm"/>
    <numFmt numFmtId="183" formatCode="0.0"/>
    <numFmt numFmtId="184" formatCode="0.000"/>
    <numFmt numFmtId="185" formatCode="\ @"/>
    <numFmt numFmtId="186" formatCode="\ \ \ \ @"/>
    <numFmt numFmtId="187" formatCode="\ \ \ \ \ @"/>
    <numFmt numFmtId="188" formatCode="\ \ \ \ \ \ \ \ \ \ \ \ \ \ \ @"/>
    <numFmt numFmtId="189" formatCode="0.000%"/>
  </numFmts>
  <fonts count="8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0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1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57"/>
      <name val="Arial"/>
      <family val="2"/>
    </font>
    <font>
      <b/>
      <sz val="16"/>
      <name val="Arial"/>
      <family val="2"/>
    </font>
    <font>
      <b/>
      <sz val="16"/>
      <name val="Helv"/>
      <family val="0"/>
    </font>
    <font>
      <b/>
      <u val="single"/>
      <sz val="16"/>
      <name val="Arial"/>
      <family val="2"/>
    </font>
    <font>
      <sz val="16"/>
      <name val="Helv"/>
      <family val="0"/>
    </font>
    <font>
      <b/>
      <i/>
      <sz val="16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5" fillId="29" borderId="1" applyNumberFormat="0" applyAlignment="0" applyProtection="0"/>
    <xf numFmtId="0" fontId="76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623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76" fontId="5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/>
      <protection locked="0"/>
    </xf>
    <xf numFmtId="176" fontId="3" fillId="33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Border="1" applyAlignment="1" applyProtection="1">
      <alignment/>
      <protection locked="0"/>
    </xf>
    <xf numFmtId="38" fontId="3" fillId="0" borderId="11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4" borderId="0" xfId="49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38" fontId="7" fillId="34" borderId="10" xfId="0" applyNumberFormat="1" applyFont="1" applyFill="1" applyBorder="1" applyAlignment="1" applyProtection="1">
      <alignment/>
      <protection locked="0"/>
    </xf>
    <xf numFmtId="38" fontId="7" fillId="34" borderId="12" xfId="0" applyNumberFormat="1" applyFont="1" applyFill="1" applyBorder="1" applyAlignment="1" applyProtection="1">
      <alignment/>
      <protection locked="0"/>
    </xf>
    <xf numFmtId="176" fontId="3" fillId="33" borderId="11" xfId="0" applyNumberFormat="1" applyFont="1" applyFill="1" applyBorder="1" applyAlignment="1" applyProtection="1">
      <alignment horizontal="center"/>
      <protection locked="0"/>
    </xf>
    <xf numFmtId="176" fontId="5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8" fontId="17" fillId="0" borderId="19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/>
    </xf>
    <xf numFmtId="8" fontId="0" fillId="0" borderId="19" xfId="0" applyNumberFormat="1" applyFont="1" applyBorder="1" applyAlignment="1">
      <alignment horizontal="left"/>
    </xf>
    <xf numFmtId="8" fontId="20" fillId="0" borderId="19" xfId="0" applyNumberFormat="1" applyFont="1" applyBorder="1" applyAlignment="1">
      <alignment horizontal="right" wrapText="1"/>
    </xf>
    <xf numFmtId="41" fontId="0" fillId="33" borderId="23" xfId="0" applyNumberFormat="1" applyFont="1" applyFill="1" applyBorder="1" applyAlignment="1">
      <alignment horizontal="right"/>
    </xf>
    <xf numFmtId="41" fontId="0" fillId="33" borderId="22" xfId="0" applyNumberFormat="1" applyFont="1" applyFill="1" applyBorder="1" applyAlignment="1">
      <alignment horizontal="right"/>
    </xf>
    <xf numFmtId="41" fontId="0" fillId="33" borderId="23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19" xfId="0" applyFont="1" applyBorder="1" applyAlignment="1">
      <alignment vertical="top" wrapText="1"/>
    </xf>
    <xf numFmtId="8" fontId="22" fillId="0" borderId="19" xfId="0" applyNumberFormat="1" applyFont="1" applyBorder="1" applyAlignment="1">
      <alignment horizontal="right" vertical="top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35" borderId="24" xfId="0" applyFont="1" applyFill="1" applyBorder="1" applyAlignment="1">
      <alignment/>
    </xf>
    <xf numFmtId="4" fontId="0" fillId="0" borderId="0" xfId="0" applyNumberFormat="1" applyFont="1" applyAlignment="1">
      <alignment/>
    </xf>
    <xf numFmtId="176" fontId="1" fillId="33" borderId="25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24" fillId="0" borderId="26" xfId="0" applyNumberFormat="1" applyFont="1" applyBorder="1" applyAlignment="1" applyProtection="1">
      <alignment/>
      <protection locked="0"/>
    </xf>
    <xf numFmtId="4" fontId="24" fillId="34" borderId="25" xfId="0" applyNumberFormat="1" applyFont="1" applyFill="1" applyBorder="1" applyAlignment="1" applyProtection="1">
      <alignment vertical="center"/>
      <protection locked="0"/>
    </xf>
    <xf numFmtId="4" fontId="2" fillId="34" borderId="25" xfId="0" applyNumberFormat="1" applyFont="1" applyFill="1" applyBorder="1" applyAlignment="1" applyProtection="1">
      <alignment/>
      <protection locked="0"/>
    </xf>
    <xf numFmtId="38" fontId="24" fillId="0" borderId="0" xfId="0" applyNumberFormat="1" applyFont="1" applyAlignment="1" applyProtection="1">
      <alignment/>
      <protection locked="0"/>
    </xf>
    <xf numFmtId="176" fontId="14" fillId="33" borderId="26" xfId="0" applyNumberFormat="1" applyFont="1" applyFill="1" applyBorder="1" applyAlignment="1" applyProtection="1">
      <alignment horizontal="center"/>
      <protection locked="0"/>
    </xf>
    <xf numFmtId="176" fontId="14" fillId="33" borderId="25" xfId="0" applyNumberFormat="1" applyFont="1" applyFill="1" applyBorder="1" applyAlignment="1" applyProtection="1">
      <alignment horizontal="center"/>
      <protection locked="0"/>
    </xf>
    <xf numFmtId="176" fontId="1" fillId="33" borderId="26" xfId="0" applyNumberFormat="1" applyFont="1" applyFill="1" applyBorder="1" applyAlignment="1">
      <alignment horizontal="center" vertical="center"/>
    </xf>
    <xf numFmtId="38" fontId="14" fillId="0" borderId="26" xfId="0" applyNumberFormat="1" applyFont="1" applyBorder="1" applyAlignment="1" applyProtection="1">
      <alignment/>
      <protection locked="0"/>
    </xf>
    <xf numFmtId="38" fontId="14" fillId="0" borderId="25" xfId="0" applyNumberFormat="1" applyFont="1" applyBorder="1" applyAlignment="1" applyProtection="1">
      <alignment/>
      <protection locked="0"/>
    </xf>
    <xf numFmtId="38" fontId="14" fillId="34" borderId="25" xfId="0" applyNumberFormat="1" applyFont="1" applyFill="1" applyBorder="1" applyAlignment="1" applyProtection="1">
      <alignment/>
      <protection locked="0"/>
    </xf>
    <xf numFmtId="41" fontId="19" fillId="36" borderId="23" xfId="0" applyNumberFormat="1" applyFont="1" applyFill="1" applyBorder="1" applyAlignment="1">
      <alignment wrapText="1"/>
    </xf>
    <xf numFmtId="189" fontId="19" fillId="36" borderId="23" xfId="0" applyNumberFormat="1" applyFont="1" applyFill="1" applyBorder="1" applyAlignment="1">
      <alignment wrapText="1"/>
    </xf>
    <xf numFmtId="41" fontId="0" fillId="33" borderId="23" xfId="0" applyNumberFormat="1" applyFont="1" applyFill="1" applyBorder="1" applyAlignment="1">
      <alignment horizontal="right" wrapText="1"/>
    </xf>
    <xf numFmtId="10" fontId="0" fillId="33" borderId="23" xfId="0" applyNumberFormat="1" applyFont="1" applyFill="1" applyBorder="1" applyAlignment="1">
      <alignment horizontal="right" vertical="top"/>
    </xf>
    <xf numFmtId="10" fontId="0" fillId="33" borderId="2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17" fillId="0" borderId="27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28" xfId="0" applyBorder="1" applyAlignment="1">
      <alignment horizontal="justify" wrapText="1"/>
    </xf>
    <xf numFmtId="0" fontId="0" fillId="0" borderId="29" xfId="0" applyBorder="1" applyAlignment="1">
      <alignment horizontal="justify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0" fontId="0" fillId="0" borderId="0" xfId="0" applyNumberFormat="1" applyAlignment="1">
      <alignment/>
    </xf>
    <xf numFmtId="43" fontId="22" fillId="37" borderId="23" xfId="0" applyNumberFormat="1" applyFont="1" applyFill="1" applyBorder="1" applyAlignment="1">
      <alignment horizontal="center" vertical="center" wrapText="1"/>
    </xf>
    <xf numFmtId="43" fontId="22" fillId="33" borderId="23" xfId="0" applyNumberFormat="1" applyFont="1" applyFill="1" applyBorder="1" applyAlignment="1">
      <alignment vertical="top" wrapText="1"/>
    </xf>
    <xf numFmtId="43" fontId="22" fillId="33" borderId="2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19" xfId="0" applyFont="1" applyFill="1" applyBorder="1" applyAlignment="1">
      <alignment vertical="top" wrapText="1"/>
    </xf>
    <xf numFmtId="8" fontId="20" fillId="0" borderId="19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right" vertical="top" wrapText="1"/>
    </xf>
    <xf numFmtId="8" fontId="20" fillId="0" borderId="32" xfId="0" applyNumberFormat="1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41" fontId="0" fillId="0" borderId="23" xfId="0" applyNumberFormat="1" applyFont="1" applyFill="1" applyBorder="1" applyAlignment="1" applyProtection="1">
      <alignment horizontal="right"/>
      <protection locked="0"/>
    </xf>
    <xf numFmtId="41" fontId="0" fillId="0" borderId="22" xfId="0" applyNumberFormat="1" applyFont="1" applyFill="1" applyBorder="1" applyAlignment="1" applyProtection="1">
      <alignment horizontal="right"/>
      <protection locked="0"/>
    </xf>
    <xf numFmtId="43" fontId="22" fillId="0" borderId="23" xfId="0" applyNumberFormat="1" applyFont="1" applyFill="1" applyBorder="1" applyAlignment="1" applyProtection="1">
      <alignment vertical="top" wrapText="1"/>
      <protection locked="0"/>
    </xf>
    <xf numFmtId="43" fontId="22" fillId="0" borderId="22" xfId="0" applyNumberFormat="1" applyFont="1" applyFill="1" applyBorder="1" applyAlignment="1" applyProtection="1">
      <alignment vertical="top" wrapText="1"/>
      <protection locked="0"/>
    </xf>
    <xf numFmtId="0" fontId="22" fillId="0" borderId="23" xfId="0" applyFont="1" applyBorder="1" applyAlignment="1" applyProtection="1">
      <alignment vertical="top" wrapText="1"/>
      <protection locked="0"/>
    </xf>
    <xf numFmtId="43" fontId="22" fillId="0" borderId="23" xfId="0" applyNumberFormat="1" applyFont="1" applyBorder="1" applyAlignment="1" applyProtection="1">
      <alignment vertical="top" wrapText="1"/>
      <protection locked="0"/>
    </xf>
    <xf numFmtId="43" fontId="22" fillId="0" borderId="22" xfId="0" applyNumberFormat="1" applyFont="1" applyBorder="1" applyAlignment="1" applyProtection="1">
      <alignment vertical="top" wrapText="1"/>
      <protection locked="0"/>
    </xf>
    <xf numFmtId="0" fontId="0" fillId="0" borderId="33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8" fontId="0" fillId="0" borderId="35" xfId="0" applyNumberFormat="1" applyFont="1" applyFill="1" applyBorder="1" applyAlignment="1">
      <alignment horizontal="right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wrapText="1"/>
    </xf>
    <xf numFmtId="43" fontId="0" fillId="0" borderId="23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43" fontId="0" fillId="0" borderId="22" xfId="0" applyNumberFormat="1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17" fillId="0" borderId="19" xfId="0" applyFont="1" applyFill="1" applyBorder="1" applyAlignment="1">
      <alignment vertical="top" wrapText="1"/>
    </xf>
    <xf numFmtId="0" fontId="20" fillId="0" borderId="32" xfId="0" applyFont="1" applyBorder="1" applyAlignment="1">
      <alignment horizontal="justify" wrapText="1"/>
    </xf>
    <xf numFmtId="43" fontId="0" fillId="0" borderId="23" xfId="0" applyNumberFormat="1" applyFont="1" applyBorder="1" applyAlignment="1" applyProtection="1">
      <alignment horizontal="right" vertical="top" wrapText="1"/>
      <protection locked="0"/>
    </xf>
    <xf numFmtId="43" fontId="0" fillId="0" borderId="22" xfId="0" applyNumberFormat="1" applyFont="1" applyBorder="1" applyAlignment="1" applyProtection="1">
      <alignment horizontal="right" vertical="top" wrapText="1"/>
      <protection locked="0"/>
    </xf>
    <xf numFmtId="43" fontId="0" fillId="33" borderId="22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9" fillId="0" borderId="0" xfId="0" applyFont="1" applyAlignment="1">
      <alignment/>
    </xf>
    <xf numFmtId="0" fontId="20" fillId="0" borderId="37" xfId="0" applyFont="1" applyFill="1" applyBorder="1" applyAlignment="1">
      <alignment horizontal="left" vertical="top" wrapText="1"/>
    </xf>
    <xf numFmtId="0" fontId="20" fillId="0" borderId="36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0" fillId="0" borderId="0" xfId="0" applyAlignment="1">
      <alignment shrinkToFit="1"/>
    </xf>
    <xf numFmtId="0" fontId="20" fillId="0" borderId="3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43" fontId="2" fillId="0" borderId="23" xfId="0" applyNumberFormat="1" applyFont="1" applyFill="1" applyBorder="1" applyAlignment="1">
      <alignment horizontal="right" vertical="top" wrapText="1"/>
    </xf>
    <xf numFmtId="43" fontId="2" fillId="33" borderId="23" xfId="0" applyNumberFormat="1" applyFont="1" applyFill="1" applyBorder="1" applyAlignment="1">
      <alignment horizontal="right" vertical="top" wrapText="1"/>
    </xf>
    <xf numFmtId="43" fontId="2" fillId="33" borderId="36" xfId="0" applyNumberFormat="1" applyFont="1" applyFill="1" applyBorder="1" applyAlignment="1">
      <alignment horizontal="right" vertical="top" wrapText="1"/>
    </xf>
    <xf numFmtId="43" fontId="2" fillId="0" borderId="22" xfId="0" applyNumberFormat="1" applyFont="1" applyFill="1" applyBorder="1" applyAlignment="1">
      <alignment horizontal="right" vertical="top" wrapText="1"/>
    </xf>
    <xf numFmtId="43" fontId="0" fillId="33" borderId="23" xfId="0" applyNumberFormat="1" applyFont="1" applyFill="1" applyBorder="1" applyAlignment="1">
      <alignment horizontal="right"/>
    </xf>
    <xf numFmtId="43" fontId="2" fillId="33" borderId="22" xfId="0" applyNumberFormat="1" applyFont="1" applyFill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35" borderId="38" xfId="0" applyNumberFormat="1" applyFont="1" applyFill="1" applyBorder="1" applyAlignment="1">
      <alignment/>
    </xf>
    <xf numFmtId="4" fontId="2" fillId="0" borderId="38" xfId="0" applyNumberFormat="1" applyFont="1" applyBorder="1" applyAlignment="1" applyProtection="1">
      <alignment/>
      <protection locked="0"/>
    </xf>
    <xf numFmtId="4" fontId="2" fillId="35" borderId="38" xfId="0" applyNumberFormat="1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4" fontId="2" fillId="0" borderId="0" xfId="0" applyNumberFormat="1" applyFont="1" applyAlignment="1" applyProtection="1">
      <alignment/>
      <protection locked="0"/>
    </xf>
    <xf numFmtId="4" fontId="2" fillId="37" borderId="38" xfId="0" applyNumberFormat="1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1" fillId="35" borderId="40" xfId="0" applyFont="1" applyFill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" fontId="1" fillId="0" borderId="38" xfId="0" applyNumberFormat="1" applyFont="1" applyBorder="1" applyAlignment="1" applyProtection="1">
      <alignment/>
      <protection locked="0"/>
    </xf>
    <xf numFmtId="4" fontId="2" fillId="0" borderId="38" xfId="0" applyNumberFormat="1" applyFont="1" applyFill="1" applyBorder="1" applyAlignment="1" applyProtection="1">
      <alignment/>
      <protection locked="0"/>
    </xf>
    <xf numFmtId="38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6" fillId="34" borderId="0" xfId="0" applyFont="1" applyFill="1" applyBorder="1" applyAlignment="1">
      <alignment/>
    </xf>
    <xf numFmtId="4" fontId="1" fillId="34" borderId="0" xfId="49" applyNumberFormat="1" applyFont="1" applyFill="1" applyBorder="1" applyAlignment="1">
      <alignment/>
    </xf>
    <xf numFmtId="4" fontId="2" fillId="34" borderId="0" xfId="49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Fill="1" applyAlignment="1">
      <alignment/>
    </xf>
    <xf numFmtId="38" fontId="4" fillId="0" borderId="44" xfId="0" applyNumberFormat="1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38" fontId="14" fillId="0" borderId="30" xfId="0" applyNumberFormat="1" applyFont="1" applyBorder="1" applyAlignment="1" applyProtection="1">
      <alignment/>
      <protection locked="0"/>
    </xf>
    <xf numFmtId="0" fontId="13" fillId="0" borderId="38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35" borderId="21" xfId="0" applyFont="1" applyFill="1" applyBorder="1" applyAlignment="1">
      <alignment/>
    </xf>
    <xf numFmtId="0" fontId="1" fillId="35" borderId="45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34" fillId="35" borderId="45" xfId="0" applyFont="1" applyFill="1" applyBorder="1" applyAlignment="1">
      <alignment horizontal="center"/>
    </xf>
    <xf numFmtId="0" fontId="34" fillId="35" borderId="44" xfId="0" applyFont="1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4" fontId="1" fillId="38" borderId="0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15" fillId="0" borderId="47" xfId="0" applyFont="1" applyBorder="1" applyAlignment="1">
      <alignment/>
    </xf>
    <xf numFmtId="3" fontId="1" fillId="33" borderId="48" xfId="0" applyNumberFormat="1" applyFont="1" applyFill="1" applyBorder="1" applyAlignment="1">
      <alignment horizontal="center"/>
    </xf>
    <xf numFmtId="3" fontId="1" fillId="33" borderId="44" xfId="0" applyNumberFormat="1" applyFont="1" applyFill="1" applyBorder="1" applyAlignment="1">
      <alignment horizontal="center"/>
    </xf>
    <xf numFmtId="43" fontId="1" fillId="33" borderId="44" xfId="0" applyNumberFormat="1" applyFont="1" applyFill="1" applyBorder="1" applyAlignment="1">
      <alignment horizontal="right"/>
    </xf>
    <xf numFmtId="43" fontId="1" fillId="33" borderId="44" xfId="0" applyNumberFormat="1" applyFont="1" applyFill="1" applyBorder="1" applyAlignment="1">
      <alignment/>
    </xf>
    <xf numFmtId="43" fontId="2" fillId="0" borderId="44" xfId="0" applyNumberFormat="1" applyFont="1" applyBorder="1" applyAlignment="1">
      <alignment/>
    </xf>
    <xf numFmtId="43" fontId="2" fillId="0" borderId="47" xfId="0" applyNumberFormat="1" applyFont="1" applyBorder="1" applyAlignment="1">
      <alignment/>
    </xf>
    <xf numFmtId="0" fontId="1" fillId="33" borderId="48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43" fontId="1" fillId="0" borderId="44" xfId="0" applyNumberFormat="1" applyFont="1" applyFill="1" applyBorder="1" applyAlignment="1" applyProtection="1">
      <alignment horizontal="right"/>
      <protection locked="0"/>
    </xf>
    <xf numFmtId="0" fontId="1" fillId="33" borderId="4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3" fontId="1" fillId="0" borderId="24" xfId="0" applyNumberFormat="1" applyFont="1" applyFill="1" applyBorder="1" applyAlignment="1" applyProtection="1">
      <alignment horizontal="right"/>
      <protection locked="0"/>
    </xf>
    <xf numFmtId="43" fontId="1" fillId="33" borderId="24" xfId="0" applyNumberFormat="1" applyFont="1" applyFill="1" applyBorder="1" applyAlignment="1">
      <alignment/>
    </xf>
    <xf numFmtId="43" fontId="2" fillId="0" borderId="24" xfId="0" applyNumberFormat="1" applyFont="1" applyBorder="1" applyAlignment="1">
      <alignment/>
    </xf>
    <xf numFmtId="43" fontId="2" fillId="0" borderId="50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34" borderId="47" xfId="0" applyFont="1" applyFill="1" applyBorder="1" applyAlignment="1">
      <alignment/>
    </xf>
    <xf numFmtId="43" fontId="2" fillId="0" borderId="39" xfId="0" applyNumberFormat="1" applyFont="1" applyBorder="1" applyAlignment="1" applyProtection="1">
      <alignment/>
      <protection locked="0"/>
    </xf>
    <xf numFmtId="43" fontId="1" fillId="33" borderId="39" xfId="0" applyNumberFormat="1" applyFont="1" applyFill="1" applyBorder="1" applyAlignment="1">
      <alignment/>
    </xf>
    <xf numFmtId="43" fontId="2" fillId="0" borderId="24" xfId="0" applyNumberFormat="1" applyFont="1" applyBorder="1" applyAlignment="1" applyProtection="1">
      <alignment/>
      <protection locked="0"/>
    </xf>
    <xf numFmtId="43" fontId="2" fillId="33" borderId="24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43" fontId="2" fillId="0" borderId="50" xfId="0" applyNumberFormat="1" applyFont="1" applyFill="1" applyBorder="1" applyAlignment="1" applyProtection="1">
      <alignment/>
      <protection locked="0"/>
    </xf>
    <xf numFmtId="43" fontId="2" fillId="33" borderId="50" xfId="0" applyNumberFormat="1" applyFont="1" applyFill="1" applyBorder="1" applyAlignment="1">
      <alignment/>
    </xf>
    <xf numFmtId="3" fontId="1" fillId="33" borderId="49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3" fontId="2" fillId="38" borderId="0" xfId="0" applyNumberFormat="1" applyFont="1" applyFill="1" applyBorder="1" applyAlignment="1" applyProtection="1">
      <alignment/>
      <protection locked="0"/>
    </xf>
    <xf numFmtId="43" fontId="2" fillId="38" borderId="0" xfId="0" applyNumberFormat="1" applyFont="1" applyFill="1" applyBorder="1" applyAlignment="1">
      <alignment/>
    </xf>
    <xf numFmtId="0" fontId="10" fillId="33" borderId="38" xfId="0" applyFont="1" applyFill="1" applyBorder="1" applyAlignment="1">
      <alignment horizontal="center"/>
    </xf>
    <xf numFmtId="0" fontId="10" fillId="39" borderId="38" xfId="0" applyFont="1" applyFill="1" applyBorder="1" applyAlignment="1" applyProtection="1">
      <alignment/>
      <protection locked="0"/>
    </xf>
    <xf numFmtId="10" fontId="10" fillId="33" borderId="38" xfId="0" applyNumberFormat="1" applyFont="1" applyFill="1" applyBorder="1" applyAlignment="1" applyProtection="1">
      <alignment horizontal="right"/>
      <protection locked="0"/>
    </xf>
    <xf numFmtId="10" fontId="10" fillId="33" borderId="38" xfId="0" applyNumberFormat="1" applyFont="1" applyFill="1" applyBorder="1" applyAlignment="1" applyProtection="1">
      <alignment horizontal="center"/>
      <protection/>
    </xf>
    <xf numFmtId="0" fontId="10" fillId="39" borderId="38" xfId="0" applyFont="1" applyFill="1" applyBorder="1" applyAlignment="1">
      <alignment/>
    </xf>
    <xf numFmtId="10" fontId="10" fillId="33" borderId="38" xfId="0" applyNumberFormat="1" applyFont="1" applyFill="1" applyBorder="1" applyAlignment="1">
      <alignment horizontal="right"/>
    </xf>
    <xf numFmtId="0" fontId="10" fillId="40" borderId="38" xfId="0" applyFont="1" applyFill="1" applyBorder="1" applyAlignment="1">
      <alignment/>
    </xf>
    <xf numFmtId="10" fontId="10" fillId="0" borderId="38" xfId="0" applyNumberFormat="1" applyFont="1" applyFill="1" applyBorder="1" applyAlignment="1" applyProtection="1">
      <alignment/>
      <protection locked="0"/>
    </xf>
    <xf numFmtId="10" fontId="10" fillId="0" borderId="38" xfId="0" applyNumberFormat="1" applyFont="1" applyFill="1" applyBorder="1" applyAlignment="1" applyProtection="1">
      <alignment horizontal="center"/>
      <protection/>
    </xf>
    <xf numFmtId="0" fontId="10" fillId="0" borderId="38" xfId="0" applyFont="1" applyBorder="1" applyAlignment="1">
      <alignment/>
    </xf>
    <xf numFmtId="10" fontId="10" fillId="33" borderId="38" xfId="0" applyNumberFormat="1" applyFont="1" applyFill="1" applyBorder="1" applyAlignment="1">
      <alignment/>
    </xf>
    <xf numFmtId="41" fontId="10" fillId="33" borderId="38" xfId="0" applyNumberFormat="1" applyFont="1" applyFill="1" applyBorder="1" applyAlignment="1" applyProtection="1">
      <alignment horizontal="center"/>
      <protection locked="0"/>
    </xf>
    <xf numFmtId="41" fontId="10" fillId="33" borderId="38" xfId="0" applyNumberFormat="1" applyFont="1" applyFill="1" applyBorder="1" applyAlignment="1" applyProtection="1">
      <alignment horizontal="center"/>
      <protection/>
    </xf>
    <xf numFmtId="41" fontId="10" fillId="33" borderId="38" xfId="0" applyNumberFormat="1" applyFont="1" applyFill="1" applyBorder="1" applyAlignment="1">
      <alignment horizontal="center"/>
    </xf>
    <xf numFmtId="10" fontId="10" fillId="0" borderId="38" xfId="0" applyNumberFormat="1" applyFont="1" applyFill="1" applyBorder="1" applyAlignment="1" applyProtection="1">
      <alignment horizontal="right"/>
      <protection locked="0"/>
    </xf>
    <xf numFmtId="0" fontId="17" fillId="0" borderId="24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2" fillId="35" borderId="21" xfId="0" applyFont="1" applyFill="1" applyBorder="1" applyAlignment="1">
      <alignment/>
    </xf>
    <xf numFmtId="41" fontId="19" fillId="36" borderId="24" xfId="0" applyNumberFormat="1" applyFont="1" applyFill="1" applyBorder="1" applyAlignment="1">
      <alignment wrapText="1"/>
    </xf>
    <xf numFmtId="41" fontId="19" fillId="36" borderId="21" xfId="0" applyNumberFormat="1" applyFont="1" applyFill="1" applyBorder="1" applyAlignment="1">
      <alignment wrapText="1"/>
    </xf>
    <xf numFmtId="41" fontId="19" fillId="36" borderId="22" xfId="0" applyNumberFormat="1" applyFont="1" applyFill="1" applyBorder="1" applyAlignment="1">
      <alignment wrapText="1"/>
    </xf>
    <xf numFmtId="189" fontId="19" fillId="36" borderId="22" xfId="0" applyNumberFormat="1" applyFont="1" applyFill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41" fontId="2" fillId="33" borderId="38" xfId="0" applyNumberFormat="1" applyFont="1" applyFill="1" applyBorder="1" applyAlignment="1">
      <alignment wrapText="1"/>
    </xf>
    <xf numFmtId="189" fontId="2" fillId="33" borderId="38" xfId="0" applyNumberFormat="1" applyFont="1" applyFill="1" applyBorder="1" applyAlignment="1">
      <alignment wrapText="1"/>
    </xf>
    <xf numFmtId="41" fontId="2" fillId="33" borderId="38" xfId="0" applyNumberFormat="1" applyFont="1" applyFill="1" applyBorder="1" applyAlignment="1">
      <alignment horizontal="right" wrapText="1"/>
    </xf>
    <xf numFmtId="41" fontId="2" fillId="33" borderId="38" xfId="0" applyNumberFormat="1" applyFont="1" applyFill="1" applyBorder="1" applyAlignment="1">
      <alignment vertical="top" wrapText="1"/>
    </xf>
    <xf numFmtId="10" fontId="2" fillId="33" borderId="38" xfId="0" applyNumberFormat="1" applyFont="1" applyFill="1" applyBorder="1" applyAlignment="1">
      <alignment vertical="top" wrapText="1"/>
    </xf>
    <xf numFmtId="41" fontId="2" fillId="0" borderId="38" xfId="0" applyNumberFormat="1" applyFont="1" applyBorder="1" applyAlignment="1" applyProtection="1">
      <alignment wrapText="1"/>
      <protection locked="0"/>
    </xf>
    <xf numFmtId="189" fontId="2" fillId="0" borderId="38" xfId="0" applyNumberFormat="1" applyFont="1" applyBorder="1" applyAlignment="1">
      <alignment wrapText="1"/>
    </xf>
    <xf numFmtId="10" fontId="2" fillId="33" borderId="38" xfId="0" applyNumberFormat="1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0" fontId="2" fillId="33" borderId="38" xfId="0" applyNumberFormat="1" applyFont="1" applyFill="1" applyBorder="1" applyAlignment="1">
      <alignment wrapText="1"/>
    </xf>
    <xf numFmtId="0" fontId="20" fillId="0" borderId="0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41" fontId="0" fillId="33" borderId="24" xfId="0" applyNumberFormat="1" applyFont="1" applyFill="1" applyBorder="1" applyAlignment="1">
      <alignment horizontal="right" wrapText="1"/>
    </xf>
    <xf numFmtId="41" fontId="0" fillId="0" borderId="24" xfId="0" applyNumberFormat="1" applyFont="1" applyFill="1" applyBorder="1" applyAlignment="1" applyProtection="1">
      <alignment horizontal="right"/>
      <protection locked="0"/>
    </xf>
    <xf numFmtId="41" fontId="0" fillId="0" borderId="21" xfId="0" applyNumberFormat="1" applyFont="1" applyFill="1" applyBorder="1" applyAlignment="1" applyProtection="1">
      <alignment horizontal="right"/>
      <protection locked="0"/>
    </xf>
    <xf numFmtId="10" fontId="0" fillId="33" borderId="22" xfId="0" applyNumberFormat="1" applyFont="1" applyFill="1" applyBorder="1" applyAlignment="1">
      <alignment horizontal="right" vertical="top"/>
    </xf>
    <xf numFmtId="41" fontId="0" fillId="33" borderId="22" xfId="0" applyNumberFormat="1" applyFont="1" applyFill="1" applyBorder="1" applyAlignment="1">
      <alignment horizontal="right" vertical="top"/>
    </xf>
    <xf numFmtId="10" fontId="0" fillId="33" borderId="22" xfId="0" applyNumberFormat="1" applyFont="1" applyFill="1" applyBorder="1" applyAlignment="1">
      <alignment horizontal="right" vertical="top" wrapText="1"/>
    </xf>
    <xf numFmtId="41" fontId="0" fillId="33" borderId="24" xfId="0" applyNumberFormat="1" applyFont="1" applyFill="1" applyBorder="1" applyAlignment="1">
      <alignment horizontal="right" vertical="top"/>
    </xf>
    <xf numFmtId="41" fontId="0" fillId="33" borderId="21" xfId="0" applyNumberFormat="1" applyFont="1" applyFill="1" applyBorder="1" applyAlignment="1">
      <alignment horizontal="right" vertical="top"/>
    </xf>
    <xf numFmtId="41" fontId="0" fillId="33" borderId="22" xfId="0" applyNumberFormat="1" applyFont="1" applyFill="1" applyBorder="1" applyAlignment="1">
      <alignment horizontal="right" wrapText="1"/>
    </xf>
    <xf numFmtId="0" fontId="0" fillId="0" borderId="38" xfId="0" applyFont="1" applyBorder="1" applyAlignment="1">
      <alignment wrapText="1"/>
    </xf>
    <xf numFmtId="0" fontId="21" fillId="0" borderId="0" xfId="0" applyFont="1" applyBorder="1" applyAlignment="1">
      <alignment wrapText="1"/>
    </xf>
    <xf numFmtId="43" fontId="2" fillId="38" borderId="0" xfId="0" applyNumberFormat="1" applyFont="1" applyFill="1" applyBorder="1" applyAlignment="1">
      <alignment wrapText="1"/>
    </xf>
    <xf numFmtId="10" fontId="2" fillId="38" borderId="0" xfId="0" applyNumberFormat="1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43" fontId="22" fillId="0" borderId="24" xfId="0" applyNumberFormat="1" applyFont="1" applyBorder="1" applyAlignment="1">
      <alignment horizontal="right" vertical="center" wrapText="1"/>
    </xf>
    <xf numFmtId="43" fontId="22" fillId="33" borderId="24" xfId="0" applyNumberFormat="1" applyFont="1" applyFill="1" applyBorder="1" applyAlignment="1">
      <alignment vertical="top" wrapText="1"/>
    </xf>
    <xf numFmtId="43" fontId="22" fillId="0" borderId="24" xfId="0" applyNumberFormat="1" applyFont="1" applyFill="1" applyBorder="1" applyAlignment="1" applyProtection="1">
      <alignment vertical="top" wrapText="1"/>
      <protection locked="0"/>
    </xf>
    <xf numFmtId="43" fontId="22" fillId="0" borderId="21" xfId="0" applyNumberFormat="1" applyFont="1" applyFill="1" applyBorder="1" applyAlignment="1" applyProtection="1">
      <alignment vertical="top" wrapText="1"/>
      <protection locked="0"/>
    </xf>
    <xf numFmtId="43" fontId="22" fillId="33" borderId="21" xfId="0" applyNumberFormat="1" applyFont="1" applyFill="1" applyBorder="1" applyAlignment="1">
      <alignment vertical="top" wrapText="1"/>
    </xf>
    <xf numFmtId="0" fontId="22" fillId="0" borderId="24" xfId="0" applyFont="1" applyBorder="1" applyAlignment="1" applyProtection="1">
      <alignment vertical="top" wrapText="1"/>
      <protection locked="0"/>
    </xf>
    <xf numFmtId="43" fontId="22" fillId="0" borderId="24" xfId="0" applyNumberFormat="1" applyFont="1" applyBorder="1" applyAlignment="1" applyProtection="1">
      <alignment vertical="top" wrapText="1"/>
      <protection locked="0"/>
    </xf>
    <xf numFmtId="43" fontId="22" fillId="0" borderId="21" xfId="0" applyNumberFormat="1" applyFont="1" applyBorder="1" applyAlignment="1" applyProtection="1">
      <alignment vertical="top" wrapText="1"/>
      <protection locked="0"/>
    </xf>
    <xf numFmtId="0" fontId="20" fillId="0" borderId="44" xfId="0" applyFont="1" applyFill="1" applyBorder="1" applyAlignment="1">
      <alignment horizontal="left" vertical="top"/>
    </xf>
    <xf numFmtId="0" fontId="20" fillId="0" borderId="44" xfId="0" applyFont="1" applyFill="1" applyBorder="1" applyAlignment="1">
      <alignment horizontal="left" vertical="top" wrapText="1"/>
    </xf>
    <xf numFmtId="0" fontId="20" fillId="0" borderId="51" xfId="0" applyFont="1" applyFill="1" applyBorder="1" applyAlignment="1">
      <alignment horizontal="left" vertical="top" wrapText="1"/>
    </xf>
    <xf numFmtId="0" fontId="20" fillId="0" borderId="45" xfId="0" applyFont="1" applyFill="1" applyBorder="1" applyAlignment="1">
      <alignment horizontal="left" vertical="top" wrapText="1"/>
    </xf>
    <xf numFmtId="0" fontId="20" fillId="0" borderId="45" xfId="0" applyFont="1" applyFill="1" applyBorder="1" applyAlignment="1">
      <alignment horizontal="left" vertical="top"/>
    </xf>
    <xf numFmtId="0" fontId="20" fillId="0" borderId="46" xfId="0" applyFont="1" applyFill="1" applyBorder="1" applyAlignment="1">
      <alignment horizontal="left" vertical="top"/>
    </xf>
    <xf numFmtId="0" fontId="20" fillId="0" borderId="51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43" fontId="0" fillId="0" borderId="21" xfId="0" applyNumberFormat="1" applyFont="1" applyFill="1" applyBorder="1" applyAlignment="1">
      <alignment wrapText="1"/>
    </xf>
    <xf numFmtId="10" fontId="0" fillId="0" borderId="0" xfId="0" applyNumberFormat="1" applyAlignment="1">
      <alignment horizontal="left" shrinkToFit="1"/>
    </xf>
    <xf numFmtId="0" fontId="0" fillId="0" borderId="0" xfId="0" applyFont="1" applyAlignment="1">
      <alignment shrinkToFit="1"/>
    </xf>
    <xf numFmtId="0" fontId="32" fillId="0" borderId="5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7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43" fontId="23" fillId="33" borderId="24" xfId="0" applyNumberFormat="1" applyFont="1" applyFill="1" applyBorder="1" applyAlignment="1">
      <alignment vertical="top" wrapText="1"/>
    </xf>
    <xf numFmtId="43" fontId="19" fillId="0" borderId="24" xfId="0" applyNumberFormat="1" applyFont="1" applyBorder="1" applyAlignment="1">
      <alignment vertical="top" wrapText="1"/>
    </xf>
    <xf numFmtId="43" fontId="23" fillId="33" borderId="21" xfId="0" applyNumberFormat="1" applyFont="1" applyFill="1" applyBorder="1" applyAlignment="1">
      <alignment vertical="top" wrapText="1"/>
    </xf>
    <xf numFmtId="43" fontId="19" fillId="0" borderId="21" xfId="0" applyNumberFormat="1" applyFont="1" applyBorder="1" applyAlignment="1">
      <alignment vertical="top" wrapText="1"/>
    </xf>
    <xf numFmtId="43" fontId="23" fillId="33" borderId="21" xfId="0" applyNumberFormat="1" applyFont="1" applyFill="1" applyBorder="1" applyAlignment="1">
      <alignment horizontal="right" vertical="top" wrapText="1"/>
    </xf>
    <xf numFmtId="49" fontId="0" fillId="0" borderId="24" xfId="0" applyNumberFormat="1" applyFont="1" applyBorder="1" applyAlignment="1" applyProtection="1">
      <alignment horizontal="justify" vertical="top" wrapText="1"/>
      <protection locked="0"/>
    </xf>
    <xf numFmtId="49" fontId="0" fillId="0" borderId="21" xfId="0" applyNumberFormat="1" applyFont="1" applyBorder="1" applyAlignment="1" applyProtection="1">
      <alignment horizontal="justify" vertical="top" wrapText="1"/>
      <protection locked="0"/>
    </xf>
    <xf numFmtId="0" fontId="20" fillId="0" borderId="21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38" fontId="36" fillId="0" borderId="0" xfId="0" applyNumberFormat="1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 horizontal="left"/>
      <protection locked="0"/>
    </xf>
    <xf numFmtId="38" fontId="38" fillId="0" borderId="0" xfId="0" applyNumberFormat="1" applyFont="1" applyBorder="1" applyAlignment="1" applyProtection="1">
      <alignment horizontal="centerContinuous"/>
      <protection locked="0"/>
    </xf>
    <xf numFmtId="0" fontId="35" fillId="34" borderId="0" xfId="0" applyFont="1" applyFill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9" fillId="34" borderId="0" xfId="0" applyFont="1" applyFill="1" applyBorder="1" applyAlignment="1" applyProtection="1">
      <alignment horizontal="right"/>
      <protection locked="0"/>
    </xf>
    <xf numFmtId="0" fontId="36" fillId="33" borderId="45" xfId="0" applyNumberFormat="1" applyFont="1" applyFill="1" applyBorder="1" applyAlignment="1" applyProtection="1">
      <alignment horizontal="center" vertical="center"/>
      <protection locked="0"/>
    </xf>
    <xf numFmtId="176" fontId="35" fillId="33" borderId="39" xfId="0" applyNumberFormat="1" applyFont="1" applyFill="1" applyBorder="1" applyAlignment="1">
      <alignment horizontal="center" vertical="center"/>
    </xf>
    <xf numFmtId="176" fontId="36" fillId="33" borderId="45" xfId="0" applyNumberFormat="1" applyFont="1" applyFill="1" applyBorder="1" applyAlignment="1" applyProtection="1">
      <alignment horizontal="center"/>
      <protection locked="0"/>
    </xf>
    <xf numFmtId="176" fontId="36" fillId="33" borderId="53" xfId="0" applyNumberFormat="1" applyFont="1" applyFill="1" applyBorder="1" applyAlignment="1" applyProtection="1">
      <alignment horizontal="center"/>
      <protection locked="0"/>
    </xf>
    <xf numFmtId="0" fontId="36" fillId="33" borderId="44" xfId="0" applyNumberFormat="1" applyFont="1" applyFill="1" applyBorder="1" applyAlignment="1" applyProtection="1">
      <alignment horizontal="center" vertical="center"/>
      <protection locked="0"/>
    </xf>
    <xf numFmtId="175" fontId="35" fillId="33" borderId="24" xfId="45" applyFont="1" applyFill="1" applyBorder="1" applyAlignment="1">
      <alignment horizontal="center" vertical="center"/>
    </xf>
    <xf numFmtId="176" fontId="35" fillId="33" borderId="0" xfId="0" applyNumberFormat="1" applyFont="1" applyFill="1" applyBorder="1" applyAlignment="1">
      <alignment horizontal="center" vertical="center"/>
    </xf>
    <xf numFmtId="176" fontId="35" fillId="33" borderId="44" xfId="0" applyNumberFormat="1" applyFont="1" applyFill="1" applyBorder="1" applyAlignment="1">
      <alignment horizontal="center" vertical="center"/>
    </xf>
    <xf numFmtId="176" fontId="35" fillId="33" borderId="54" xfId="0" applyNumberFormat="1" applyFont="1" applyFill="1" applyBorder="1" applyAlignment="1">
      <alignment horizontal="center" vertical="center"/>
    </xf>
    <xf numFmtId="0" fontId="36" fillId="33" borderId="24" xfId="0" applyNumberFormat="1" applyFont="1" applyFill="1" applyBorder="1" applyAlignment="1" applyProtection="1">
      <alignment horizontal="left"/>
      <protection locked="0"/>
    </xf>
    <xf numFmtId="3" fontId="36" fillId="33" borderId="0" xfId="0" applyNumberFormat="1" applyFont="1" applyFill="1" applyBorder="1" applyAlignment="1" applyProtection="1">
      <alignment horizontal="right"/>
      <protection locked="0"/>
    </xf>
    <xf numFmtId="3" fontId="36" fillId="33" borderId="46" xfId="0" applyNumberFormat="1" applyFont="1" applyFill="1" applyBorder="1" applyAlignment="1" applyProtection="1">
      <alignment horizontal="right"/>
      <protection locked="0"/>
    </xf>
    <xf numFmtId="3" fontId="36" fillId="33" borderId="55" xfId="0" applyNumberFormat="1" applyFont="1" applyFill="1" applyBorder="1" applyAlignment="1" applyProtection="1">
      <alignment horizontal="right"/>
      <protection locked="0"/>
    </xf>
    <xf numFmtId="0" fontId="35" fillId="0" borderId="44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43" fontId="35" fillId="0" borderId="38" xfId="0" applyNumberFormat="1" applyFont="1" applyFill="1" applyBorder="1" applyAlignment="1">
      <alignment vertical="center"/>
    </xf>
    <xf numFmtId="43" fontId="40" fillId="0" borderId="38" xfId="0" applyNumberFormat="1" applyFont="1" applyFill="1" applyBorder="1" applyAlignment="1">
      <alignment vertical="center"/>
    </xf>
    <xf numFmtId="0" fontId="40" fillId="0" borderId="44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35" fillId="0" borderId="46" xfId="0" applyFont="1" applyFill="1" applyBorder="1" applyAlignment="1">
      <alignment vertical="center"/>
    </xf>
    <xf numFmtId="0" fontId="35" fillId="0" borderId="38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43" fontId="35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176" fontId="35" fillId="33" borderId="46" xfId="0" applyNumberFormat="1" applyFont="1" applyFill="1" applyBorder="1" applyAlignment="1">
      <alignment horizontal="center" vertical="center"/>
    </xf>
    <xf numFmtId="176" fontId="35" fillId="33" borderId="55" xfId="0" applyNumberFormat="1" applyFont="1" applyFill="1" applyBorder="1" applyAlignment="1">
      <alignment horizontal="center" vertical="center"/>
    </xf>
    <xf numFmtId="43" fontId="35" fillId="37" borderId="38" xfId="0" applyNumberFormat="1" applyFont="1" applyFill="1" applyBorder="1" applyAlignment="1">
      <alignment vertical="center"/>
    </xf>
    <xf numFmtId="43" fontId="35" fillId="0" borderId="39" xfId="0" applyNumberFormat="1" applyFont="1" applyFill="1" applyBorder="1" applyAlignment="1">
      <alignment vertical="center"/>
    </xf>
    <xf numFmtId="0" fontId="40" fillId="0" borderId="46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43" fontId="35" fillId="0" borderId="21" xfId="0" applyNumberFormat="1" applyFont="1" applyFill="1" applyBorder="1" applyAlignment="1">
      <alignment vertical="center"/>
    </xf>
    <xf numFmtId="43" fontId="40" fillId="0" borderId="21" xfId="0" applyNumberFormat="1" applyFont="1" applyFill="1" applyBorder="1" applyAlignment="1">
      <alignment vertical="center"/>
    </xf>
    <xf numFmtId="0" fontId="35" fillId="0" borderId="51" xfId="0" applyFont="1" applyFill="1" applyBorder="1" applyAlignment="1">
      <alignment vertical="center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wrapText="1"/>
    </xf>
    <xf numFmtId="0" fontId="41" fillId="0" borderId="24" xfId="0" applyFont="1" applyBorder="1" applyAlignment="1">
      <alignment wrapText="1"/>
    </xf>
    <xf numFmtId="41" fontId="41" fillId="36" borderId="23" xfId="0" applyNumberFormat="1" applyFont="1" applyFill="1" applyBorder="1" applyAlignment="1">
      <alignment wrapText="1"/>
    </xf>
    <xf numFmtId="189" fontId="41" fillId="36" borderId="23" xfId="0" applyNumberFormat="1" applyFont="1" applyFill="1" applyBorder="1" applyAlignment="1">
      <alignment wrapText="1"/>
    </xf>
    <xf numFmtId="0" fontId="41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3" fontId="2" fillId="33" borderId="23" xfId="0" applyNumberFormat="1" applyFont="1" applyFill="1" applyBorder="1" applyAlignment="1">
      <alignment wrapText="1"/>
    </xf>
    <xf numFmtId="10" fontId="2" fillId="33" borderId="23" xfId="0" applyNumberFormat="1" applyFont="1" applyFill="1" applyBorder="1" applyAlignment="1">
      <alignment horizontal="center" wrapText="1"/>
    </xf>
    <xf numFmtId="43" fontId="2" fillId="0" borderId="23" xfId="0" applyNumberFormat="1" applyFont="1" applyFill="1" applyBorder="1" applyAlignment="1">
      <alignment wrapText="1"/>
    </xf>
    <xf numFmtId="43" fontId="2" fillId="0" borderId="23" xfId="0" applyNumberFormat="1" applyFont="1" applyBorder="1" applyAlignment="1" applyProtection="1">
      <alignment wrapText="1"/>
      <protection locked="0"/>
    </xf>
    <xf numFmtId="0" fontId="2" fillId="0" borderId="21" xfId="0" applyFont="1" applyBorder="1" applyAlignment="1">
      <alignment wrapText="1"/>
    </xf>
    <xf numFmtId="43" fontId="2" fillId="0" borderId="22" xfId="0" applyNumberFormat="1" applyFont="1" applyBorder="1" applyAlignment="1" applyProtection="1">
      <alignment wrapText="1"/>
      <protection locked="0"/>
    </xf>
    <xf numFmtId="10" fontId="2" fillId="33" borderId="22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wrapText="1"/>
    </xf>
    <xf numFmtId="43" fontId="2" fillId="33" borderId="22" xfId="0" applyNumberFormat="1" applyFont="1" applyFill="1" applyBorder="1" applyAlignment="1">
      <alignment wrapText="1"/>
    </xf>
    <xf numFmtId="43" fontId="2" fillId="33" borderId="23" xfId="0" applyNumberFormat="1" applyFont="1" applyFill="1" applyBorder="1" applyAlignment="1" applyProtection="1">
      <alignment wrapText="1"/>
      <protection locked="0"/>
    </xf>
    <xf numFmtId="43" fontId="2" fillId="33" borderId="22" xfId="0" applyNumberFormat="1" applyFont="1" applyFill="1" applyBorder="1" applyAlignment="1" applyProtection="1">
      <alignment wrapText="1"/>
      <protection locked="0"/>
    </xf>
    <xf numFmtId="0" fontId="44" fillId="0" borderId="56" xfId="0" applyFont="1" applyFill="1" applyBorder="1" applyAlignment="1">
      <alignment horizontal="left"/>
    </xf>
    <xf numFmtId="0" fontId="45" fillId="0" borderId="19" xfId="0" applyFont="1" applyFill="1" applyBorder="1" applyAlignment="1">
      <alignment wrapText="1"/>
    </xf>
    <xf numFmtId="49" fontId="9" fillId="0" borderId="24" xfId="0" applyNumberFormat="1" applyFont="1" applyBorder="1" applyAlignment="1" applyProtection="1">
      <alignment horizontal="justify" vertical="top" wrapText="1"/>
      <protection locked="0"/>
    </xf>
    <xf numFmtId="43" fontId="2" fillId="33" borderId="39" xfId="51" applyFont="1" applyFill="1" applyBorder="1" applyAlignment="1">
      <alignment horizontal="right" vertical="center"/>
    </xf>
    <xf numFmtId="43" fontId="2" fillId="33" borderId="39" xfId="0" applyNumberFormat="1" applyFont="1" applyFill="1" applyBorder="1" applyAlignment="1">
      <alignment horizontal="right" vertical="center"/>
    </xf>
    <xf numFmtId="43" fontId="2" fillId="33" borderId="23" xfId="0" applyNumberFormat="1" applyFont="1" applyFill="1" applyBorder="1" applyAlignment="1">
      <alignment horizontal="right"/>
    </xf>
    <xf numFmtId="43" fontId="2" fillId="0" borderId="22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right" vertical="top" wrapText="1"/>
    </xf>
    <xf numFmtId="43" fontId="2" fillId="0" borderId="51" xfId="51" applyFont="1" applyFill="1" applyBorder="1" applyAlignment="1">
      <alignment horizontal="right" vertical="top" wrapText="1"/>
    </xf>
    <xf numFmtId="43" fontId="2" fillId="0" borderId="38" xfId="51" applyFont="1" applyFill="1" applyBorder="1" applyAlignment="1">
      <alignment horizontal="right" vertical="top" wrapText="1"/>
    </xf>
    <xf numFmtId="0" fontId="0" fillId="0" borderId="38" xfId="0" applyFont="1" applyFill="1" applyBorder="1" applyAlignment="1">
      <alignment horizontal="center" wrapText="1"/>
    </xf>
    <xf numFmtId="43" fontId="0" fillId="0" borderId="38" xfId="0" applyNumberFormat="1" applyFont="1" applyFill="1" applyBorder="1" applyAlignment="1">
      <alignment wrapText="1"/>
    </xf>
    <xf numFmtId="38" fontId="2" fillId="0" borderId="0" xfId="0" applyNumberFormat="1" applyFont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38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38" fontId="35" fillId="0" borderId="0" xfId="0" applyNumberFormat="1" applyFont="1" applyBorder="1" applyAlignment="1" applyProtection="1">
      <alignment horizontal="center"/>
      <protection locked="0"/>
    </xf>
    <xf numFmtId="38" fontId="36" fillId="0" borderId="0" xfId="0" applyNumberFormat="1" applyFont="1" applyBorder="1" applyAlignment="1" applyProtection="1">
      <alignment horizontal="center"/>
      <protection locked="0"/>
    </xf>
    <xf numFmtId="0" fontId="36" fillId="33" borderId="39" xfId="0" applyNumberFormat="1" applyFont="1" applyFill="1" applyBorder="1" applyAlignment="1" applyProtection="1">
      <alignment horizontal="center" vertical="center"/>
      <protection locked="0"/>
    </xf>
    <xf numFmtId="0" fontId="36" fillId="33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25" fillId="0" borderId="57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38" fontId="2" fillId="0" borderId="27" xfId="0" applyNumberFormat="1" applyFont="1" applyBorder="1" applyAlignment="1">
      <alignment horizontal="center"/>
    </xf>
    <xf numFmtId="38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38" fontId="41" fillId="0" borderId="27" xfId="0" applyNumberFormat="1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left"/>
    </xf>
    <xf numFmtId="0" fontId="19" fillId="0" borderId="19" xfId="0" applyFont="1" applyBorder="1" applyAlignment="1">
      <alignment wrapText="1"/>
    </xf>
    <xf numFmtId="8" fontId="17" fillId="0" borderId="19" xfId="0" applyNumberFormat="1" applyFont="1" applyBorder="1" applyAlignment="1">
      <alignment horizontal="right" wrapText="1"/>
    </xf>
    <xf numFmtId="0" fontId="17" fillId="0" borderId="19" xfId="0" applyFont="1" applyBorder="1" applyAlignment="1">
      <alignment horizontal="right" wrapText="1"/>
    </xf>
    <xf numFmtId="0" fontId="41" fillId="0" borderId="3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9" fillId="0" borderId="3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38" fontId="17" fillId="0" borderId="27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/>
    </xf>
    <xf numFmtId="8" fontId="20" fillId="0" borderId="19" xfId="0" applyNumberFormat="1" applyFont="1" applyBorder="1" applyAlignment="1">
      <alignment horizontal="right" wrapText="1"/>
    </xf>
    <xf numFmtId="0" fontId="20" fillId="0" borderId="19" xfId="0" applyFont="1" applyBorder="1" applyAlignment="1">
      <alignment horizontal="right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justify"/>
    </xf>
    <xf numFmtId="0" fontId="0" fillId="0" borderId="34" xfId="0" applyFill="1" applyBorder="1" applyAlignment="1">
      <alignment/>
    </xf>
    <xf numFmtId="0" fontId="2" fillId="0" borderId="29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/>
    </xf>
    <xf numFmtId="0" fontId="1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0" fontId="17" fillId="0" borderId="56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0" xfId="0" applyFont="1" applyBorder="1" applyAlignment="1">
      <alignment horizontal="left"/>
    </xf>
    <xf numFmtId="0" fontId="22" fillId="0" borderId="37" xfId="0" applyFont="1" applyBorder="1" applyAlignment="1">
      <alignment vertical="top" wrapText="1"/>
    </xf>
    <xf numFmtId="0" fontId="22" fillId="0" borderId="3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/>
    </xf>
    <xf numFmtId="0" fontId="22" fillId="0" borderId="3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20" fillId="0" borderId="51" xfId="0" applyFont="1" applyFill="1" applyBorder="1" applyAlignment="1">
      <alignment horizontal="left" vertical="top" wrapText="1"/>
    </xf>
    <xf numFmtId="0" fontId="20" fillId="0" borderId="37" xfId="0" applyFont="1" applyFill="1" applyBorder="1" applyAlignment="1">
      <alignment horizontal="left" vertical="top" wrapText="1"/>
    </xf>
    <xf numFmtId="0" fontId="20" fillId="0" borderId="36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30" fillId="0" borderId="45" xfId="0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/>
    </xf>
    <xf numFmtId="0" fontId="31" fillId="0" borderId="31" xfId="0" applyFont="1" applyBorder="1" applyAlignment="1">
      <alignment horizontal="center" vertical="top"/>
    </xf>
    <xf numFmtId="0" fontId="31" fillId="0" borderId="46" xfId="0" applyFont="1" applyBorder="1" applyAlignment="1">
      <alignment horizontal="center" vertical="top"/>
    </xf>
    <xf numFmtId="0" fontId="31" fillId="0" borderId="32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/>
    </xf>
    <xf numFmtId="0" fontId="20" fillId="0" borderId="4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46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30" fillId="0" borderId="5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30" fillId="0" borderId="36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20" fillId="0" borderId="51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20" fillId="0" borderId="33" xfId="0" applyFont="1" applyFill="1" applyBorder="1" applyAlignment="1">
      <alignment horizontal="left" vertical="top" wrapText="1"/>
    </xf>
    <xf numFmtId="0" fontId="20" fillId="0" borderId="34" xfId="0" applyFont="1" applyFill="1" applyBorder="1" applyAlignment="1">
      <alignment horizontal="left" vertical="top" wrapText="1"/>
    </xf>
    <xf numFmtId="38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9" xfId="0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3" fontId="2" fillId="0" borderId="51" xfId="51" applyFont="1" applyFill="1" applyBorder="1" applyAlignment="1">
      <alignment horizontal="right" vertical="center" wrapText="1"/>
    </xf>
    <xf numFmtId="43" fontId="2" fillId="0" borderId="36" xfId="51" applyFont="1" applyFill="1" applyBorder="1" applyAlignment="1">
      <alignment horizontal="right" vertical="center" wrapText="1"/>
    </xf>
    <xf numFmtId="43" fontId="2" fillId="0" borderId="51" xfId="51" applyFont="1" applyFill="1" applyBorder="1" applyAlignment="1">
      <alignment horizontal="right" vertical="top" wrapText="1"/>
    </xf>
    <xf numFmtId="43" fontId="2" fillId="0" borderId="36" xfId="51" applyFont="1" applyFill="1" applyBorder="1" applyAlignment="1">
      <alignment horizontal="right" vertical="top" wrapText="1"/>
    </xf>
    <xf numFmtId="0" fontId="44" fillId="0" borderId="30" xfId="0" applyFont="1" applyFill="1" applyBorder="1" applyAlignment="1">
      <alignment horizontal="left"/>
    </xf>
    <xf numFmtId="38" fontId="32" fillId="0" borderId="52" xfId="0" applyNumberFormat="1" applyFont="1" applyBorder="1" applyAlignment="1">
      <alignment horizontal="center"/>
    </xf>
    <xf numFmtId="38" fontId="32" fillId="0" borderId="0" xfId="0" applyNumberFormat="1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39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5" fillId="0" borderId="30" xfId="0" applyFont="1" applyBorder="1" applyAlignment="1">
      <alignment horizontal="left"/>
    </xf>
    <xf numFmtId="38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0" borderId="0" xfId="0" applyFont="1" applyAlignment="1">
      <alignment horizontal="justify" wrapText="1"/>
    </xf>
    <xf numFmtId="8" fontId="20" fillId="0" borderId="32" xfId="0" applyNumberFormat="1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27</xdr:row>
      <xdr:rowOff>0</xdr:rowOff>
    </xdr:from>
    <xdr:to>
      <xdr:col>6</xdr:col>
      <xdr:colOff>485775</xdr:colOff>
      <xdr:row>43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342900" y="5534025"/>
          <a:ext cx="83534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ente da Federação, inclusive as decorrentes de emissão de títulos, assumidas em virtude de leis, contratos, convênios ou tratados;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ente da Federação,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Res-tos a Pagar Processados.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 Nominal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a diferença entre o saldo da dívida fiscal líquida em 31 de dezembro de determinado ano em relação ao apurado em 31 de dezembro do ano anterior
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152400</xdr:rowOff>
    </xdr:from>
    <xdr:to>
      <xdr:col>6</xdr:col>
      <xdr:colOff>981075</xdr:colOff>
      <xdr:row>41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4838700"/>
          <a:ext cx="68103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Este demonstrativo tem por objetivo mensurar os tributos que serão objeto de renúncia fiscal de receita, identificando seus valores nos exercícios que compreenderão o triênio a partir da vigência da LDO e estabelecendo ainda as medidas de compesação que serão adotadas, visando dar cumprimento ao disposto no art. 4º, §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Conforme os arts. 12  e 51 do Projeto de Lei das Diretrizes Orçamentárias para 2010, a estimativa de renúncia de receita está inserida na metodologia de cálculo da projeção da arrecadação efetiva dos tributos municipais. Desta forma, fica observado o atendimento do disposto no art. 14, I, da LRF, que determina que a renúncia deve ser considerada na estimativa de receita da lei orçamentária e de que não afetará as metas de resultados fiscais. Assim, não se faz necessária à demonstração de medidas de compensação.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19050</xdr:rowOff>
    </xdr:from>
    <xdr:to>
      <xdr:col>1</xdr:col>
      <xdr:colOff>2914650</xdr:colOff>
      <xdr:row>51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8575" y="4200525"/>
          <a:ext cx="56197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 Demonstração da margem de expansão das despesas obrigatórias de caráter continuado visa assegurar que não haverá criação de nova despesa sem a correspondente fonte de financiamento. 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 desta forma a disposição contida no art. 4º, §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Nesse sentido, o aumento permanente de receita é definido como aquele proveniente da elevação de alíquotas, ampliação da base de cálculo ou majoração ou criação de tributo ou contribuição (§ 3º do art 17 da LRF).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Assim, a presente estimativa considerou como ampliação da base de cálculo o crescimento real da atividade econômica, dado que se refere à elevação da grandeza econômica ou numérica sobre a qual se aplica uma alíquota para se obter o mont ante a ser arrecadado, assim como os possíveis efeitos dos esforços do Município na implementação de medidas para o incremento das receitas próprias.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Desse modo, para estimar o aumento de receita, considerou -se o aumento resultante 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variação real do Produto Interno Bruto – PIB, estimado em 4,5% para o período em paut a, o esforço na arrecadação tributária e o crescimento real das receitas transferidas nos índices evidenciados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 Tabela 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Como aumento das despesas permanentes de caráter obrigatório que terão impacto em 2010, foi considerado a correção real dos vencimentos dos servidores públicos municipais, e os efeitos do crescimento vegetativo da folha salarial, bem como o resultado do incremento nas demais despesas de custeio decorrentes do aumento da atividade governamental.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Caso necessário, a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Margem Líquida de Expansão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acima demonstrada, será utilizada, pelo Poder Executivo, como forma de compensação do aumento das despesas obrigatórias de caráter continuado em 2010, observado o disposto no art. 16 da LDO.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47625</xdr:rowOff>
    </xdr:from>
    <xdr:to>
      <xdr:col>3</xdr:col>
      <xdr:colOff>857250</xdr:colOff>
      <xdr:row>27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61925" y="3857625"/>
          <a:ext cx="67913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§ 3º da LRF.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76200</xdr:rowOff>
    </xdr:from>
    <xdr:to>
      <xdr:col>6</xdr:col>
      <xdr:colOff>933450</xdr:colOff>
      <xdr:row>25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61925" y="3228975"/>
          <a:ext cx="9467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fontes de receitas e/ou grupo de natureza de despesa, conforme especificações das tabelas a seguir:</a:t>
          </a:r>
        </a:p>
      </xdr:txBody>
    </xdr:sp>
    <xdr:clientData/>
  </xdr:twoCellAnchor>
  <xdr:twoCellAnchor>
    <xdr:from>
      <xdr:col>0</xdr:col>
      <xdr:colOff>1752600</xdr:colOff>
      <xdr:row>25</xdr:row>
      <xdr:rowOff>123825</xdr:rowOff>
    </xdr:from>
    <xdr:to>
      <xdr:col>5</xdr:col>
      <xdr:colOff>952500</xdr:colOff>
      <xdr:row>44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733800"/>
          <a:ext cx="68389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1695450</xdr:colOff>
      <xdr:row>45</xdr:row>
      <xdr:rowOff>0</xdr:rowOff>
    </xdr:from>
    <xdr:to>
      <xdr:col>6</xdr:col>
      <xdr:colOff>381000</xdr:colOff>
      <xdr:row>59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7248525"/>
          <a:ext cx="73818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43</xdr:row>
      <xdr:rowOff>142875</xdr:rowOff>
    </xdr:from>
    <xdr:to>
      <xdr:col>6</xdr:col>
      <xdr:colOff>314325</xdr:colOff>
      <xdr:row>43</xdr:row>
      <xdr:rowOff>142875</xdr:rowOff>
    </xdr:to>
    <xdr:sp>
      <xdr:nvSpPr>
        <xdr:cNvPr id="4" name="Line 6"/>
        <xdr:cNvSpPr>
          <a:spLocks/>
        </xdr:cNvSpPr>
      </xdr:nvSpPr>
      <xdr:spPr>
        <a:xfrm>
          <a:off x="1971675" y="708660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45</xdr:row>
      <xdr:rowOff>19050</xdr:rowOff>
    </xdr:from>
    <xdr:to>
      <xdr:col>6</xdr:col>
      <xdr:colOff>381000</xdr:colOff>
      <xdr:row>58</xdr:row>
      <xdr:rowOff>85725</xdr:rowOff>
    </xdr:to>
    <xdr:sp>
      <xdr:nvSpPr>
        <xdr:cNvPr id="5" name="Line 8"/>
        <xdr:cNvSpPr>
          <a:spLocks/>
        </xdr:cNvSpPr>
      </xdr:nvSpPr>
      <xdr:spPr>
        <a:xfrm flipH="1">
          <a:off x="9067800" y="7267575"/>
          <a:ext cx="95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1647825</xdr:colOff>
      <xdr:row>60</xdr:row>
      <xdr:rowOff>66675</xdr:rowOff>
    </xdr:from>
    <xdr:to>
      <xdr:col>6</xdr:col>
      <xdr:colOff>428625</xdr:colOff>
      <xdr:row>63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647825" y="9601200"/>
          <a:ext cx="7477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 Para as estimativas das OPERAÇÕES DE CRÉDITO, foram utilizados os valores informados na TABELA 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123825</xdr:rowOff>
    </xdr:from>
    <xdr:to>
      <xdr:col>10</xdr:col>
      <xdr:colOff>19050</xdr:colOff>
      <xdr:row>102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47625" y="4876800"/>
          <a:ext cx="10439400" cy="1310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Demonstrartivo de Metas Anuais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objetiva estabelecer as metas para o triênio conpreendendo o ano de vigência da LDO e os dois subseqüentes, abrangendo a Receita e Despesa Total, Receitas Não Financeiras, Despesas Não Financeiras, Resultado Primário, Resultado Nominal e Dívida Pública, visando atender a disposição contida no art. 4º, § 1º da LRF.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melhor entendimento, cabem aqui os seguintes conceitos: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as receitas primárias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ativos;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– as despesas primárias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correspondem ao total da despesa orçamentária deduzidas as despesas com juros e amortização da dívida, aquisição de títulos de capital integralizado e as despesas com concessão de empréstimos com retorno garantido.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– o resultado primário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diferença entre as receitas primárias e despesas primárias evidenciando o esforço fiscal do Município;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– o resultado nominal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representa a diferença entre o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saldo previsto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dívida fiscal líquida em 31 de dezembro de determinado ano em relação ao apurado em 31 de dezembro do ano anterior;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dívida pública consolidada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dívida Consolidada Líquida – DC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- corresponde à dívida pública consolidada, deduzidos os valores que compreendem o ativo disponível e os haveres financeiros, líquidos dos Restos a Pagar Processados;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MEMÓRIA E METODOLOGIA DE CÁLCULO DAS METAS FISCAIS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1 -  Os parâmetros macroeconômicos utilizados na elaboração das estimativas constantes no Anexo de Metas Fiscais são relacionados na Tabela 01.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e os valores reestimados para o exercício atual, além das premissas consideradas como verdadeiras e relacionadas, por exemplo, ao índice de inflação, crescimento do PIB, atualização da planta de valores do IPTU, ampliação do perímetro urbano da cidade, políticas de combate à evasão e à sonegação fiscal, crescimento da população e do movimento econômico,  crescimento real das receitas transferidas, dentre outros.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2 - Em relação às despesas correntes, foram considerados os parâmetros de inflação e crescimento real, quando cabível, das despesas com pessoal e demais custeios.  Em relação aos investimentos, além da inflação, considerou-se a estimativa de crescimento real dessas despesas em nível que viabilize a sua expansão a fim de garantir, precipuamente, a conclusão dos projetos em andamento demonstrados no Anexo IV.  Asseguraram-se, ainda, os recursos para pagamento das obrigações decorrentes de juros e amortização da dívida pública.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 – No tocante às despesas com pessoal, em específico,  foi considerado o efeito do crescimento vegetativo da folha salarial e de eventual aumento salarial, acima dos níveis inflacionários.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 – Esses percentuais contemplam a expectativa de inflação e a projeção de crescimento real esperado das receitas municipais. As projeções de inflação e de crescimento do PIB seguem as perspectivas mensuradas pelo IBGE, conforme consta nos prognósticos do Governo Federal, formalizados no projeto da Lei de Diretrizes Orçamentárias da União para o exercício de 2010 e disponível para consulta no sítio  www.planejamento.gov.br.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5 - Outro ponto importante a ser destacado é que a receita do Município, conforme estabelece o § 3º, do art. 1º da Lei Complementar nº 101/00, compreende as receitas de todos os órgãos da Administração Pública Municipal, inclusive as receitas intraorçamentária.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6 - Em relação ao cálculo do Resultado Primário e do Resultado Nominal, considerou a metodologia estabelecida na Portaria STN nº 577/2008. Os resultados primários previstos para os três exercícios são considerados suficientes para o pagamento dos compromissos da dívida e para a obtenção do equilíbrio nas contas públicas.  O resultado nominal reflete a variação do endividamento fiscal líquido entre as datas referidas.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Na estimativa do montante da dívida consolidada, utilizou-se, como parâmetros a previsão de taxa de juros SELIC, utilizada pela união Federal na elaboração de sua LDO para 2010,  considerando-se, ainda, a previsão de operações de crédito no futuro.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8 - Já na apuração do montante da dívida líquida, os valores das Disponibilidades Financeiras foram calculadas levando-se em consideração a estimativa da posição em 31/12/09 e projetando-se os valores futuros com base nos percentuais médios dos valores realizados no ano anterior.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9 - Isso posto, podemos elencar, a partir da leitura das projeções estabelecidas, os números mais representativos no contexto das projeções: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A receita total estimada para o exercício de 2010, consideradas todas as fontes de recursos é de R$ 15.186.659,00, a preços correntes que, deduzidas das receitas financeiras, representadas pelos Rendimentos das Aplicações Financeiras (R$ 416.662,00), das resultantes de Operações de Crédito (R$ 0,00), das Alienações de Bens (R$ 0,00) e das resultantes de Amortização de Empréstimos Concedidos (R$ 0,00), resultam numa Receita Fiscal de R$ 14.769.997,00;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-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R$ 15.186.659,00. Deduzindo-se as despesas financeiras com juros e encargos da dívida, estimadas em R$ 55.656,00, mais as despesas com Concessão de Empréstimos e Financiamentos, no valor de R$ 0,00 e a Amortização da Dívida Publica, estimada em R$ 170.164,00, tem-se que as despesas fiscais para 2010 foram previstas em R$ 14.960.839,00;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Cotejando-se o valor previsto para as receitas e despesas fiscais em valores correntes, chega-se à meta de resultado primário que foi inicialmente prevista em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- ) R$  190.842,00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qual entendemos como necessária e suficiente para preservar o equilíbrio nas contas públicas;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- Em relação ao estoque da dívida, esse corresponde à posição em dezembro de cada exercício, considerando a previsão das amortizações e das liberações a serem realizadas no respectivo período, estando os valores evidenciados na  Tabela 02.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152400</xdr:rowOff>
    </xdr:from>
    <xdr:to>
      <xdr:col>9</xdr:col>
      <xdr:colOff>666750</xdr:colOff>
      <xdr:row>26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6675" y="3933825"/>
          <a:ext cx="94488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a avaliação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142875</xdr:rowOff>
    </xdr:from>
    <xdr:to>
      <xdr:col>9</xdr:col>
      <xdr:colOff>676275</xdr:colOff>
      <xdr:row>27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6675" y="3409950"/>
          <a:ext cx="89725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 acima identificados, representam as metas de receitas, despesas e resultado primário do Tesouro Municipal  (Excetuadas as receitas e despesas previdenciárias).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metodologia e os conceitos são idêntivos aos utilizados para a elaboração do anexo de metas fiscais consolidado.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152400</xdr:rowOff>
    </xdr:from>
    <xdr:to>
      <xdr:col>6</xdr:col>
      <xdr:colOff>962025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675" y="4400550"/>
          <a:ext cx="8201025" cy="3476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O objetivo deste demonstrativo é estabelecer uma comparação entre as metas fixadas e o resultado obtido no exercício anterior ao da edição da LDO (2008), incluindo análise dos fatores determinantes para o alcance ou não dos valores estabelecidos como metas, visando a atender o disposto no art. 4º, § 2º, inciso I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Assim, conforme demonstrado em audiência pública de avaliação das metas fiscais relativas ao terceiro quadrimestre do exercício financeiro de 2008 (art. 9º, § 4º da LRF), o resultado primário, principal indicador de sustentabilidade fiscal do setor público, ficou em ( - ) R$ 1.000.993,00, valor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- ) 173,60%  inferior à meta estabelecida na LDO, que era de R$ 1.360.000,00. O desempenho verificado demonstra que o ingresso das receitas primárias (não financeiras) não foi capaz de suportar o total das despesas primárias (não financeiras) do exercício.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As receitas não financeiras totalizaram R$ 12.995.664,00 superando em 4,17% a projeção para o período de R$ 12.475.000,00. As despesas não financeiras atingiram R$ 13.996.657,00,  estabelecendo-se  25,93% acima da previsão orçamentária. Não obstante a sua expansão, corresponderam a 107,70% do total das receitas primárias comprometendo, dessa forma, a obtenção do superavit primário.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Em parte , esse resultado é em decorrência do desempenho desfavorável apresentado pela receita, tendo sido fortemente condicionado pelo comportamento das receitas correntes, que apresentaram um pequeno incremento de 4,10% em relação ao valor consignado no orçamento.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Destaca-se no exercício de 2008 a performance dos grupos de receita tributária, patrimonial e de transferências correntes, que superaram minimamente a expectativa, respectivamente, em 4,50%, 36,90% e 3,26%.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A dívida consolidada ao final de 2008 totalizou R$ 2.019.617,00, valor 101,96% superior ao saldo estimado  para o exercício.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19050</xdr:rowOff>
    </xdr:from>
    <xdr:to>
      <xdr:col>11</xdr:col>
      <xdr:colOff>542925</xdr:colOff>
      <xdr:row>41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6200" y="5229225"/>
          <a:ext cx="105346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(2010), em comparação com as estabelecidas para os três exercícios anteriores  (2007, 2008 e 2009) bem como para os dois seguintes (2011 e 2012), referentes à Receita Total, Receitas Não Financeiras, Despesas Não Financeiras, Resultado Primário, Resultado Nominal, Dívida Pública Consolidada e Dívida Consolidada Líquida, cumprindo desta forma a disposição contida no art. 4º, § 2º, inciso II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Os valores relativos as previsões de Receitas, Despesas e Resultado Primário de 2007, 2008 e 2009 foram extraídos das respectivas Leis de Orçamento.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Os valores da previsão do Resultado Nominal, Dívida Consolidada e Dívida Consolidada Líquida, de 2007, 2008 e 2009 foram extraídos dos respectivos anexos de metas fiscais.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Já em relação às previsões para os exercícios de 2010, 2011 e 2012, os valores, a metodologia e as premissas utilizadas são as mesmas utilizadas para o estabelecimento das metas explicitadas no Demonstrativo de Metas Anuais, referido no art. 2º, inciso I do Projeto de Lei de LDO, evidenciando, assim, a sua consistência.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28575</xdr:rowOff>
    </xdr:from>
    <xdr:to>
      <xdr:col>6</xdr:col>
      <xdr:colOff>466725</xdr:colOff>
      <xdr:row>51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7150" y="6667500"/>
          <a:ext cx="6800850" cy="3448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demonstrar a evolução do Patrimônio Líquido nos três exercícios anteriores ao da edição da LDO (2006, 2007 e 2008), cumprindo desta forma o disposto no art. 4º, § 2º, inciso III da LRF.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Nesse sentido é preciso enfatizar que o Município segue as normas da Lei 4.320/64, não apresentando no seu balanço as nomenclaturas previstas na Lei 6.404/76. Assim, em vez de "Resultado Acumulado", o município utiliza a nomenclatura de "Ativo Real Líquido", quando o resultado é superavitário e "Passivo Real a Descoberto", quando o resultado apresenta-se deficitário.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O Sistema de Previdência, por força da Lei Municipal nº 2.200 de 31 de dezembro de 1999 estabelece normas sobre a gestão do Fundo de Previdência dos Servidores Municipais sendo que seus registros contábeis estão em conformidade com as Normas do Ministério da Previdência Social e apartados das demais contas do Município.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Em termos consolidados, a evolução do Patrimônio Líquido do Município, nos últimos três exercícios, demonstrada para o período de 2006 a 2008, aponta que o saldo patrimonial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aumentou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R$  5.733.430,32 em 31.12.2006 para R$ 10.245.846,72 em 31.12.2008 (79,05%).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Conforme pode ser observado, o Município encerrou as contas de 2008 com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déficit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cujo principal fator foi o aumento das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despesas superior ao aumento das receitas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123825</xdr:rowOff>
    </xdr:from>
    <xdr:to>
      <xdr:col>3</xdr:col>
      <xdr:colOff>990600</xdr:colOff>
      <xdr:row>39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5800725"/>
          <a:ext cx="66675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O demonstrativo acima tem por objetivo destacar as origens e as aplicações dos recursos obtidos, pelo Município, com a alienação de ativos, ocorridos nos 3 exercícios anteriores ao da edição da LDO  (2006, 2007 e 2008).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F76"/>
  <sheetViews>
    <sheetView view="pageBreakPreview" zoomScale="90" zoomScaleSheetLayoutView="90" workbookViewId="0" topLeftCell="A43">
      <selection activeCell="F55" sqref="F55"/>
    </sheetView>
  </sheetViews>
  <sheetFormatPr defaultColWidth="9.140625" defaultRowHeight="12.75"/>
  <cols>
    <col min="1" max="1" width="24.421875" style="147" customWidth="1"/>
    <col min="2" max="2" width="47.7109375" style="0" customWidth="1"/>
    <col min="3" max="3" width="20.00390625" style="23" customWidth="1"/>
    <col min="4" max="5" width="21.421875" style="23" customWidth="1"/>
    <col min="6" max="6" width="19.57421875" style="23" customWidth="1"/>
    <col min="7" max="7" width="19.7109375" style="0" customWidth="1"/>
    <col min="8" max="8" width="19.421875" style="0" customWidth="1"/>
  </cols>
  <sheetData>
    <row r="1" spans="1:6" ht="15">
      <c r="A1" s="420" t="str">
        <f>Parâmetros!A7</f>
        <v>Município de : J A G U A R I - RS</v>
      </c>
      <c r="B1" s="420"/>
      <c r="C1" s="420"/>
      <c r="D1" s="420"/>
      <c r="E1" s="420"/>
      <c r="F1" s="420"/>
    </row>
    <row r="2" spans="1:6" ht="15">
      <c r="A2" s="420" t="str">
        <f>Parâmetros!A8</f>
        <v>LEI DE DIRETRIZES ORÇAMENTÁRIAS  2010</v>
      </c>
      <c r="B2" s="420"/>
      <c r="C2" s="420"/>
      <c r="D2" s="420"/>
      <c r="E2" s="420"/>
      <c r="F2" s="420"/>
    </row>
    <row r="3" spans="1:6" ht="15">
      <c r="A3" s="420" t="s">
        <v>343</v>
      </c>
      <c r="B3" s="420"/>
      <c r="C3" s="420"/>
      <c r="D3" s="420"/>
      <c r="E3" s="420"/>
      <c r="F3" s="420"/>
    </row>
    <row r="4" spans="1:6" ht="15">
      <c r="A4" s="163"/>
      <c r="B4" s="163"/>
      <c r="C4" s="163"/>
      <c r="D4" s="163"/>
      <c r="E4" s="163"/>
      <c r="F4" s="163"/>
    </row>
    <row r="5" spans="1:6" ht="15">
      <c r="A5" s="420"/>
      <c r="B5" s="420"/>
      <c r="C5" s="420"/>
      <c r="D5" s="420"/>
      <c r="E5" s="420"/>
      <c r="F5" s="420"/>
    </row>
    <row r="6" spans="1:6" s="26" customFormat="1" ht="33.75" customHeight="1">
      <c r="A6" s="421" t="s">
        <v>91</v>
      </c>
      <c r="B6" s="421" t="s">
        <v>92</v>
      </c>
      <c r="C6" s="176">
        <v>2006</v>
      </c>
      <c r="D6" s="176">
        <v>2007</v>
      </c>
      <c r="E6" s="176">
        <v>2008</v>
      </c>
      <c r="F6" s="176">
        <v>2009</v>
      </c>
    </row>
    <row r="7" spans="1:6" s="53" customFormat="1" ht="18" customHeight="1">
      <c r="A7" s="421"/>
      <c r="B7" s="421"/>
      <c r="C7" s="177" t="s">
        <v>181</v>
      </c>
      <c r="D7" s="177" t="s">
        <v>181</v>
      </c>
      <c r="E7" s="177" t="s">
        <v>181</v>
      </c>
      <c r="F7" s="177" t="s">
        <v>182</v>
      </c>
    </row>
    <row r="8" spans="1:6" s="22" customFormat="1" ht="15.75">
      <c r="A8" s="179" t="s">
        <v>47</v>
      </c>
      <c r="B8" s="151" t="s">
        <v>2</v>
      </c>
      <c r="C8" s="148">
        <f>C9+C10+C13+C18+C19+C20+C21+C22</f>
        <v>12246972.78</v>
      </c>
      <c r="D8" s="148">
        <f>D9+D10+D13+D18+D19+D20+D21+D22</f>
        <v>13500167.309999999</v>
      </c>
      <c r="E8" s="148">
        <f>E9+E10+E13+E18+E19+E20+E21+E22</f>
        <v>14031291.450000001</v>
      </c>
      <c r="F8" s="148">
        <f>F9+F10+F13+F18+F19+F20+F21+F22</f>
        <v>15459441.52</v>
      </c>
    </row>
    <row r="9" spans="1:6" s="22" customFormat="1" ht="15">
      <c r="A9" s="180" t="s">
        <v>48</v>
      </c>
      <c r="B9" s="152" t="s">
        <v>49</v>
      </c>
      <c r="C9" s="149">
        <v>771441.17</v>
      </c>
      <c r="D9" s="149">
        <v>840801.9</v>
      </c>
      <c r="E9" s="149">
        <v>885824.33</v>
      </c>
      <c r="F9" s="149">
        <v>916080</v>
      </c>
    </row>
    <row r="10" spans="1:6" s="22" customFormat="1" ht="15">
      <c r="A10" s="180" t="s">
        <v>50</v>
      </c>
      <c r="B10" s="152" t="s">
        <v>51</v>
      </c>
      <c r="C10" s="150">
        <f>C11+C12</f>
        <v>307375.42000000004</v>
      </c>
      <c r="D10" s="150">
        <f>D11+D12</f>
        <v>382303.78</v>
      </c>
      <c r="E10" s="150">
        <f>E11+E12</f>
        <v>338001.82999999996</v>
      </c>
      <c r="F10" s="150">
        <f>F11+F12</f>
        <v>470000</v>
      </c>
    </row>
    <row r="11" spans="1:6" s="22" customFormat="1" ht="15">
      <c r="A11" s="180" t="s">
        <v>50</v>
      </c>
      <c r="B11" s="152" t="s">
        <v>214</v>
      </c>
      <c r="C11" s="149">
        <v>99981.97</v>
      </c>
      <c r="D11" s="149">
        <v>82569.63</v>
      </c>
      <c r="E11" s="149">
        <v>73953.78</v>
      </c>
      <c r="F11" s="149">
        <v>120000</v>
      </c>
    </row>
    <row r="12" spans="1:6" s="22" customFormat="1" ht="15">
      <c r="A12" s="180" t="s">
        <v>215</v>
      </c>
      <c r="B12" s="152" t="s">
        <v>219</v>
      </c>
      <c r="C12" s="149">
        <v>207393.45</v>
      </c>
      <c r="D12" s="149">
        <v>299734.15</v>
      </c>
      <c r="E12" s="149">
        <v>264048.05</v>
      </c>
      <c r="F12" s="149">
        <v>350000</v>
      </c>
    </row>
    <row r="13" spans="1:6" s="22" customFormat="1" ht="15.75">
      <c r="A13" s="180" t="s">
        <v>52</v>
      </c>
      <c r="B13" s="152" t="s">
        <v>3</v>
      </c>
      <c r="C13" s="148">
        <f>C14+C17</f>
        <v>228378.57</v>
      </c>
      <c r="D13" s="148">
        <f>D14+D17</f>
        <v>203397.69</v>
      </c>
      <c r="E13" s="148">
        <f>E14+E17</f>
        <v>319174</v>
      </c>
      <c r="F13" s="148">
        <f>F14+F17</f>
        <v>399000</v>
      </c>
    </row>
    <row r="14" spans="1:6" ht="15">
      <c r="A14" s="180" t="s">
        <v>53</v>
      </c>
      <c r="B14" s="152" t="s">
        <v>176</v>
      </c>
      <c r="C14" s="150">
        <f>C15+C16</f>
        <v>228378.57</v>
      </c>
      <c r="D14" s="150">
        <f>D15+D16</f>
        <v>203397.69</v>
      </c>
      <c r="E14" s="150">
        <f>E15+E16</f>
        <v>319174</v>
      </c>
      <c r="F14" s="150">
        <f>F15+F16</f>
        <v>398000</v>
      </c>
    </row>
    <row r="15" spans="1:6" ht="15">
      <c r="A15" s="180" t="s">
        <v>53</v>
      </c>
      <c r="B15" s="152" t="s">
        <v>216</v>
      </c>
      <c r="C15" s="149">
        <v>33218.95</v>
      </c>
      <c r="D15" s="149">
        <v>6552.21</v>
      </c>
      <c r="E15" s="149">
        <v>9582.94</v>
      </c>
      <c r="F15" s="149">
        <v>18000</v>
      </c>
    </row>
    <row r="16" spans="1:6" ht="15">
      <c r="A16" s="180" t="s">
        <v>53</v>
      </c>
      <c r="B16" s="152" t="s">
        <v>220</v>
      </c>
      <c r="C16" s="149">
        <v>195159.62</v>
      </c>
      <c r="D16" s="149">
        <v>196845.48</v>
      </c>
      <c r="E16" s="149">
        <v>309591.06</v>
      </c>
      <c r="F16" s="149">
        <v>380000</v>
      </c>
    </row>
    <row r="17" spans="1:6" ht="15">
      <c r="A17" s="180" t="s">
        <v>54</v>
      </c>
      <c r="B17" s="152" t="s">
        <v>55</v>
      </c>
      <c r="C17" s="149">
        <v>0</v>
      </c>
      <c r="D17" s="149">
        <v>0</v>
      </c>
      <c r="E17" s="149">
        <v>0</v>
      </c>
      <c r="F17" s="149">
        <v>1000</v>
      </c>
    </row>
    <row r="18" spans="1:6" ht="15">
      <c r="A18" s="180" t="s">
        <v>56</v>
      </c>
      <c r="B18" s="152" t="s">
        <v>57</v>
      </c>
      <c r="C18" s="149">
        <v>0</v>
      </c>
      <c r="D18" s="149">
        <v>0</v>
      </c>
      <c r="E18" s="149">
        <v>0</v>
      </c>
      <c r="F18" s="149">
        <v>0</v>
      </c>
    </row>
    <row r="19" spans="1:6" ht="15">
      <c r="A19" s="180" t="s">
        <v>58</v>
      </c>
      <c r="B19" s="152" t="s">
        <v>4</v>
      </c>
      <c r="C19" s="149">
        <v>0</v>
      </c>
      <c r="D19" s="149">
        <v>0</v>
      </c>
      <c r="E19" s="149">
        <v>0</v>
      </c>
      <c r="F19" s="149">
        <v>0</v>
      </c>
    </row>
    <row r="20" spans="1:6" ht="15">
      <c r="A20" s="180" t="s">
        <v>59</v>
      </c>
      <c r="B20" s="152" t="s">
        <v>60</v>
      </c>
      <c r="C20" s="149">
        <v>106985.52</v>
      </c>
      <c r="D20" s="149">
        <v>555992.23</v>
      </c>
      <c r="E20" s="149">
        <v>75482.15</v>
      </c>
      <c r="F20" s="149">
        <v>75000</v>
      </c>
    </row>
    <row r="21" spans="1:6" s="22" customFormat="1" ht="15">
      <c r="A21" s="180" t="s">
        <v>61</v>
      </c>
      <c r="B21" s="152" t="s">
        <v>62</v>
      </c>
      <c r="C21" s="149">
        <v>10613104.2</v>
      </c>
      <c r="D21" s="149">
        <v>11015852.53</v>
      </c>
      <c r="E21" s="149">
        <v>12058923.91</v>
      </c>
      <c r="F21" s="149">
        <v>12757901.52</v>
      </c>
    </row>
    <row r="22" spans="1:6" s="22" customFormat="1" ht="15">
      <c r="A22" s="180" t="s">
        <v>63</v>
      </c>
      <c r="B22" s="152" t="s">
        <v>5</v>
      </c>
      <c r="C22" s="150">
        <f>C23+C24</f>
        <v>219687.9</v>
      </c>
      <c r="D22" s="150">
        <f>D23+D24</f>
        <v>501819.18</v>
      </c>
      <c r="E22" s="150">
        <f>E23+E24</f>
        <v>353885.23</v>
      </c>
      <c r="F22" s="150">
        <f>F23+F24</f>
        <v>841460</v>
      </c>
    </row>
    <row r="23" spans="1:6" s="22" customFormat="1" ht="15">
      <c r="A23" s="180" t="s">
        <v>63</v>
      </c>
      <c r="B23" s="152" t="s">
        <v>217</v>
      </c>
      <c r="C23" s="149">
        <v>215665.79</v>
      </c>
      <c r="D23" s="149">
        <v>498192.99</v>
      </c>
      <c r="E23" s="149">
        <v>250933.83</v>
      </c>
      <c r="F23" s="149">
        <v>751460</v>
      </c>
    </row>
    <row r="24" spans="1:6" s="22" customFormat="1" ht="15">
      <c r="A24" s="180" t="s">
        <v>63</v>
      </c>
      <c r="B24" s="152" t="s">
        <v>221</v>
      </c>
      <c r="C24" s="149">
        <v>4022.11</v>
      </c>
      <c r="D24" s="149">
        <v>3626.19</v>
      </c>
      <c r="E24" s="149">
        <v>102951.4</v>
      </c>
      <c r="F24" s="149">
        <v>90000</v>
      </c>
    </row>
    <row r="25" spans="1:6" s="22" customFormat="1" ht="15.75">
      <c r="A25" s="181" t="s">
        <v>64</v>
      </c>
      <c r="B25" s="153" t="s">
        <v>65</v>
      </c>
      <c r="C25" s="148">
        <f>C26+C27+C28+C29+C30</f>
        <v>235370.17</v>
      </c>
      <c r="D25" s="148">
        <f>D26+D27+D28+D29+D30</f>
        <v>156979.41</v>
      </c>
      <c r="E25" s="148">
        <f>E26+E27+E28+E29+E30</f>
        <v>188395</v>
      </c>
      <c r="F25" s="148">
        <f>F26+F27+F28+F29+F30</f>
        <v>97500</v>
      </c>
    </row>
    <row r="26" spans="1:6" s="22" customFormat="1" ht="15">
      <c r="A26" s="180" t="s">
        <v>66</v>
      </c>
      <c r="B26" s="152" t="s">
        <v>67</v>
      </c>
      <c r="C26" s="149">
        <v>0</v>
      </c>
      <c r="D26" s="149">
        <v>0</v>
      </c>
      <c r="E26" s="149">
        <v>0</v>
      </c>
      <c r="F26" s="149">
        <v>0</v>
      </c>
    </row>
    <row r="27" spans="1:6" s="22" customFormat="1" ht="15">
      <c r="A27" s="180" t="s">
        <v>68</v>
      </c>
      <c r="B27" s="152" t="s">
        <v>69</v>
      </c>
      <c r="C27" s="149">
        <v>71500</v>
      </c>
      <c r="D27" s="149">
        <v>0</v>
      </c>
      <c r="E27" s="149">
        <v>0</v>
      </c>
      <c r="F27" s="149">
        <v>0</v>
      </c>
    </row>
    <row r="28" spans="1:6" ht="15">
      <c r="A28" s="180" t="s">
        <v>70</v>
      </c>
      <c r="B28" s="152" t="s">
        <v>71</v>
      </c>
      <c r="C28" s="149">
        <v>0</v>
      </c>
      <c r="D28" s="149">
        <v>0</v>
      </c>
      <c r="E28" s="149">
        <v>0</v>
      </c>
      <c r="F28" s="149">
        <v>0</v>
      </c>
    </row>
    <row r="29" spans="1:6" s="22" customFormat="1" ht="15">
      <c r="A29" s="180" t="s">
        <v>72</v>
      </c>
      <c r="B29" s="152" t="s">
        <v>73</v>
      </c>
      <c r="C29" s="149">
        <v>163870.17</v>
      </c>
      <c r="D29" s="149">
        <v>112850</v>
      </c>
      <c r="E29" s="149">
        <v>188395</v>
      </c>
      <c r="F29" s="149">
        <v>97500</v>
      </c>
    </row>
    <row r="30" spans="1:6" ht="15">
      <c r="A30" s="180" t="s">
        <v>74</v>
      </c>
      <c r="B30" s="152" t="s">
        <v>6</v>
      </c>
      <c r="C30" s="149">
        <v>0</v>
      </c>
      <c r="D30" s="149">
        <v>44129.41</v>
      </c>
      <c r="E30" s="149">
        <v>0</v>
      </c>
      <c r="F30" s="149">
        <v>0</v>
      </c>
    </row>
    <row r="31" spans="1:6" ht="15">
      <c r="A31" s="180" t="s">
        <v>218</v>
      </c>
      <c r="B31" s="152" t="s">
        <v>222</v>
      </c>
      <c r="C31" s="149">
        <v>0</v>
      </c>
      <c r="D31" s="149">
        <v>843806.1</v>
      </c>
      <c r="E31" s="149">
        <v>610494</v>
      </c>
      <c r="F31" s="149">
        <v>530000</v>
      </c>
    </row>
    <row r="32" spans="1:6" ht="15.75">
      <c r="A32" s="180" t="s">
        <v>177</v>
      </c>
      <c r="B32" s="153" t="s">
        <v>344</v>
      </c>
      <c r="C32" s="149">
        <v>-1709852.65</v>
      </c>
      <c r="D32" s="149">
        <v>-2240259.25</v>
      </c>
      <c r="E32" s="149">
        <v>-1515342.11</v>
      </c>
      <c r="F32" s="149">
        <v>-1736941.52</v>
      </c>
    </row>
    <row r="33" spans="1:6" ht="15">
      <c r="A33" s="180"/>
      <c r="B33" s="152"/>
      <c r="C33" s="149"/>
      <c r="D33" s="149"/>
      <c r="E33" s="149"/>
      <c r="F33" s="149"/>
    </row>
    <row r="34" spans="1:6" s="22" customFormat="1" ht="15.75">
      <c r="A34" s="182"/>
      <c r="B34" s="178" t="s">
        <v>75</v>
      </c>
      <c r="C34" s="148">
        <f>C8+C25+C31+C32</f>
        <v>10772490.299999999</v>
      </c>
      <c r="D34" s="148">
        <f>D8+D25+D31+D32</f>
        <v>12260693.569999998</v>
      </c>
      <c r="E34" s="148">
        <f>E8+E25+E31+E32</f>
        <v>13314838.340000002</v>
      </c>
      <c r="F34" s="148">
        <f>F8+F25+F31+F32</f>
        <v>14350000</v>
      </c>
    </row>
    <row r="35" spans="1:6" s="22" customFormat="1" ht="15.75">
      <c r="A35" s="188"/>
      <c r="B35" s="189"/>
      <c r="C35" s="190"/>
      <c r="D35" s="190"/>
      <c r="E35" s="190"/>
      <c r="F35" s="190"/>
    </row>
    <row r="36" spans="1:6" s="22" customFormat="1" ht="15.75">
      <c r="A36" s="188"/>
      <c r="B36" s="189"/>
      <c r="C36" s="190"/>
      <c r="D36" s="190"/>
      <c r="E36" s="190"/>
      <c r="F36" s="190"/>
    </row>
    <row r="37" spans="1:6" s="22" customFormat="1" ht="15.75">
      <c r="A37" s="188"/>
      <c r="B37" s="189"/>
      <c r="C37" s="190"/>
      <c r="D37" s="190"/>
      <c r="E37" s="190"/>
      <c r="F37" s="190"/>
    </row>
    <row r="38" spans="1:6" s="22" customFormat="1" ht="15.75">
      <c r="A38" s="188"/>
      <c r="B38" s="189"/>
      <c r="C38" s="190"/>
      <c r="D38" s="190"/>
      <c r="E38" s="190"/>
      <c r="F38" s="190"/>
    </row>
    <row r="39" spans="1:6" s="22" customFormat="1" ht="15.75">
      <c r="A39" s="188"/>
      <c r="B39" s="189"/>
      <c r="C39" s="190"/>
      <c r="D39" s="190"/>
      <c r="E39" s="190"/>
      <c r="F39" s="190"/>
    </row>
    <row r="41" spans="1:6" s="26" customFormat="1" ht="33.75" customHeight="1">
      <c r="A41" s="421" t="s">
        <v>91</v>
      </c>
      <c r="B41" s="421" t="s">
        <v>92</v>
      </c>
      <c r="C41" s="176">
        <v>2006</v>
      </c>
      <c r="D41" s="176">
        <v>2007</v>
      </c>
      <c r="E41" s="176">
        <v>2008</v>
      </c>
      <c r="F41" s="176">
        <v>2009</v>
      </c>
    </row>
    <row r="42" spans="1:6" s="53" customFormat="1" ht="20.25" customHeight="1">
      <c r="A42" s="421"/>
      <c r="B42" s="421"/>
      <c r="C42" s="177" t="s">
        <v>183</v>
      </c>
      <c r="D42" s="177" t="s">
        <v>183</v>
      </c>
      <c r="E42" s="177" t="s">
        <v>183</v>
      </c>
      <c r="F42" s="177" t="s">
        <v>182</v>
      </c>
    </row>
    <row r="43" spans="1:6" s="22" customFormat="1" ht="15.75">
      <c r="A43" s="183" t="s">
        <v>76</v>
      </c>
      <c r="B43" s="151" t="s">
        <v>7</v>
      </c>
      <c r="C43" s="148">
        <f>C44+C47+C50</f>
        <v>9560656.99</v>
      </c>
      <c r="D43" s="148">
        <f>D44+D47+D50</f>
        <v>10366255.41</v>
      </c>
      <c r="E43" s="148">
        <f>E44+E47+E50</f>
        <v>12997076.41</v>
      </c>
      <c r="F43" s="148">
        <f>F44+F47+F50</f>
        <v>13262244.53</v>
      </c>
    </row>
    <row r="44" spans="1:6" s="22" customFormat="1" ht="15.75">
      <c r="A44" s="184" t="s">
        <v>77</v>
      </c>
      <c r="B44" s="152" t="s">
        <v>78</v>
      </c>
      <c r="C44" s="150">
        <f>C45+C46</f>
        <v>5549222.66</v>
      </c>
      <c r="D44" s="150">
        <f>D45+D46</f>
        <v>6188451.239999999</v>
      </c>
      <c r="E44" s="150">
        <f>E45+E46</f>
        <v>6015619.46</v>
      </c>
      <c r="F44" s="150">
        <f>F45+F46</f>
        <v>6199821.72</v>
      </c>
    </row>
    <row r="45" spans="1:6" s="22" customFormat="1" ht="15.75">
      <c r="A45" s="184" t="s">
        <v>77</v>
      </c>
      <c r="B45" s="152" t="s">
        <v>223</v>
      </c>
      <c r="C45" s="149">
        <v>4963273.17</v>
      </c>
      <c r="D45" s="149">
        <v>5509055.77</v>
      </c>
      <c r="E45" s="149">
        <f>6015619.46-718006.21</f>
        <v>5297613.25</v>
      </c>
      <c r="F45" s="149">
        <f>6199821.72-761250</f>
        <v>5438571.72</v>
      </c>
    </row>
    <row r="46" spans="1:6" s="22" customFormat="1" ht="15.75">
      <c r="A46" s="184" t="s">
        <v>77</v>
      </c>
      <c r="B46" s="152" t="s">
        <v>224</v>
      </c>
      <c r="C46" s="149">
        <v>585949.49</v>
      </c>
      <c r="D46" s="149">
        <v>679395.47</v>
      </c>
      <c r="E46" s="149">
        <v>718006.21</v>
      </c>
      <c r="F46" s="149">
        <v>761250</v>
      </c>
    </row>
    <row r="47" spans="1:6" ht="15">
      <c r="A47" s="180" t="s">
        <v>79</v>
      </c>
      <c r="B47" s="152" t="s">
        <v>188</v>
      </c>
      <c r="C47" s="150">
        <f>C48+C49</f>
        <v>1553.33</v>
      </c>
      <c r="D47" s="150">
        <f>D48+D49</f>
        <v>3340.87</v>
      </c>
      <c r="E47" s="150">
        <f>E48+E49</f>
        <v>32317.51</v>
      </c>
      <c r="F47" s="150">
        <f>F48+F49</f>
        <v>50500</v>
      </c>
    </row>
    <row r="48" spans="1:6" ht="15">
      <c r="A48" s="180" t="s">
        <v>79</v>
      </c>
      <c r="B48" s="152" t="s">
        <v>80</v>
      </c>
      <c r="C48" s="149">
        <v>1553.33</v>
      </c>
      <c r="D48" s="149">
        <v>3340.87</v>
      </c>
      <c r="E48" s="149">
        <v>32317.51</v>
      </c>
      <c r="F48" s="149">
        <v>50500</v>
      </c>
    </row>
    <row r="49" spans="1:6" ht="15">
      <c r="A49" s="180" t="s">
        <v>79</v>
      </c>
      <c r="B49" s="152" t="s">
        <v>227</v>
      </c>
      <c r="C49" s="149">
        <v>0</v>
      </c>
      <c r="D49" s="149">
        <v>0</v>
      </c>
      <c r="E49" s="149">
        <v>0</v>
      </c>
      <c r="F49" s="149">
        <v>0</v>
      </c>
    </row>
    <row r="50" spans="1:6" s="22" customFormat="1" ht="15.75">
      <c r="A50" s="184" t="s">
        <v>81</v>
      </c>
      <c r="B50" s="152" t="s">
        <v>82</v>
      </c>
      <c r="C50" s="150">
        <f>C51+C52</f>
        <v>4009881</v>
      </c>
      <c r="D50" s="150">
        <f>D51+D52</f>
        <v>4174463.3</v>
      </c>
      <c r="E50" s="150">
        <f>E51+E52</f>
        <v>6949139.44</v>
      </c>
      <c r="F50" s="150">
        <f>F51+F52</f>
        <v>7011922.81</v>
      </c>
    </row>
    <row r="51" spans="1:6" s="22" customFormat="1" ht="15.75">
      <c r="A51" s="184" t="s">
        <v>81</v>
      </c>
      <c r="B51" s="152" t="s">
        <v>225</v>
      </c>
      <c r="C51" s="149">
        <v>4003749</v>
      </c>
      <c r="D51" s="149">
        <v>4168467.3</v>
      </c>
      <c r="E51" s="149">
        <f>6949139.44-8699.17</f>
        <v>6940440.2700000005</v>
      </c>
      <c r="F51" s="149">
        <f>7011922.81-11500</f>
        <v>7000422.81</v>
      </c>
    </row>
    <row r="52" spans="1:6" s="22" customFormat="1" ht="15.75">
      <c r="A52" s="184" t="s">
        <v>81</v>
      </c>
      <c r="B52" s="152" t="s">
        <v>226</v>
      </c>
      <c r="C52" s="149">
        <v>6132</v>
      </c>
      <c r="D52" s="149">
        <v>5996</v>
      </c>
      <c r="E52" s="149">
        <v>8699.17</v>
      </c>
      <c r="F52" s="149">
        <v>11500</v>
      </c>
    </row>
    <row r="53" spans="1:6" s="22" customFormat="1" ht="15.75">
      <c r="A53" s="184" t="s">
        <v>83</v>
      </c>
      <c r="B53" s="153" t="s">
        <v>8</v>
      </c>
      <c r="C53" s="148">
        <f>C54+C57+C60</f>
        <v>1002854.03</v>
      </c>
      <c r="D53" s="148">
        <f>D54+D57+D60</f>
        <v>286081.3</v>
      </c>
      <c r="E53" s="148">
        <f>E54+E57+E60</f>
        <v>1173642.36</v>
      </c>
      <c r="F53" s="148">
        <f>F54+F57+F60</f>
        <v>431935.47</v>
      </c>
    </row>
    <row r="54" spans="1:6" s="22" customFormat="1" ht="15.75">
      <c r="A54" s="184" t="s">
        <v>84</v>
      </c>
      <c r="B54" s="152" t="s">
        <v>9</v>
      </c>
      <c r="C54" s="150">
        <f>C55+C56</f>
        <v>897214.84</v>
      </c>
      <c r="D54" s="150">
        <f>D55+D56</f>
        <v>282921.95</v>
      </c>
      <c r="E54" s="150">
        <f>E55+E56</f>
        <v>1031568.86</v>
      </c>
      <c r="F54" s="150">
        <f>F55+F56</f>
        <v>247535.47</v>
      </c>
    </row>
    <row r="55" spans="1:6" s="22" customFormat="1" ht="15.75">
      <c r="A55" s="184" t="s">
        <v>84</v>
      </c>
      <c r="B55" s="152" t="s">
        <v>341</v>
      </c>
      <c r="C55" s="149">
        <v>897214.84</v>
      </c>
      <c r="D55" s="149">
        <v>282921.95</v>
      </c>
      <c r="E55" s="149">
        <v>1031568.86</v>
      </c>
      <c r="F55" s="149">
        <v>247535.47</v>
      </c>
    </row>
    <row r="56" spans="1:6" s="22" customFormat="1" ht="15.75">
      <c r="A56" s="184" t="s">
        <v>84</v>
      </c>
      <c r="B56" s="152" t="s">
        <v>342</v>
      </c>
      <c r="C56" s="149">
        <v>0</v>
      </c>
      <c r="D56" s="149">
        <v>0</v>
      </c>
      <c r="E56" s="149">
        <v>0</v>
      </c>
      <c r="F56" s="149">
        <v>0</v>
      </c>
    </row>
    <row r="57" spans="1:6" s="22" customFormat="1" ht="15.75">
      <c r="A57" s="184" t="s">
        <v>85</v>
      </c>
      <c r="B57" s="152" t="s">
        <v>10</v>
      </c>
      <c r="C57" s="148">
        <f>C58+C59</f>
        <v>32295.37</v>
      </c>
      <c r="D57" s="148">
        <f>D58+D59</f>
        <v>3159.35</v>
      </c>
      <c r="E57" s="148">
        <f>E58+E59</f>
        <v>329.42</v>
      </c>
      <c r="F57" s="148">
        <f>F58+F59</f>
        <v>30000</v>
      </c>
    </row>
    <row r="58" spans="1:6" ht="15">
      <c r="A58" s="180" t="s">
        <v>86</v>
      </c>
      <c r="B58" s="152" t="s">
        <v>87</v>
      </c>
      <c r="C58" s="149">
        <v>9500</v>
      </c>
      <c r="D58" s="149">
        <v>0</v>
      </c>
      <c r="E58" s="149"/>
      <c r="F58" s="149">
        <v>0</v>
      </c>
    </row>
    <row r="59" spans="1:6" ht="15">
      <c r="A59" s="180" t="s">
        <v>179</v>
      </c>
      <c r="B59" s="152" t="s">
        <v>180</v>
      </c>
      <c r="C59" s="149">
        <v>22795.37</v>
      </c>
      <c r="D59" s="149">
        <v>3159.35</v>
      </c>
      <c r="E59" s="149">
        <v>329.42</v>
      </c>
      <c r="F59" s="149">
        <v>30000</v>
      </c>
    </row>
    <row r="60" spans="1:6" s="22" customFormat="1" ht="15.75">
      <c r="A60" s="184" t="s">
        <v>88</v>
      </c>
      <c r="B60" s="152" t="s">
        <v>89</v>
      </c>
      <c r="C60" s="149">
        <v>73343.82</v>
      </c>
      <c r="D60" s="149">
        <v>0</v>
      </c>
      <c r="E60" s="149">
        <v>141744.08</v>
      </c>
      <c r="F60" s="149">
        <v>154400</v>
      </c>
    </row>
    <row r="61" spans="1:6" s="22" customFormat="1" ht="15.75">
      <c r="A61" s="184"/>
      <c r="B61" s="152"/>
      <c r="C61" s="154"/>
      <c r="D61" s="154"/>
      <c r="E61" s="154"/>
      <c r="F61" s="154"/>
    </row>
    <row r="62" spans="1:6" s="22" customFormat="1" ht="15.75">
      <c r="A62" s="184" t="s">
        <v>189</v>
      </c>
      <c r="B62" s="152" t="s">
        <v>190</v>
      </c>
      <c r="C62" s="155"/>
      <c r="D62" s="155"/>
      <c r="E62" s="155"/>
      <c r="F62" s="148">
        <f>F34-F43-F53-F63</f>
        <v>78570.0000000007</v>
      </c>
    </row>
    <row r="63" spans="1:6" s="22" customFormat="1" ht="15.75">
      <c r="A63" s="184" t="s">
        <v>228</v>
      </c>
      <c r="B63" s="152" t="s">
        <v>229</v>
      </c>
      <c r="C63" s="156"/>
      <c r="D63" s="156"/>
      <c r="E63" s="156"/>
      <c r="F63" s="157">
        <f>(F12+F16+F24+F31)-(F46+F49+F52+F56)</f>
        <v>577250</v>
      </c>
    </row>
    <row r="64" spans="1:6" ht="15">
      <c r="A64" s="180"/>
      <c r="B64" s="152"/>
      <c r="C64" s="154"/>
      <c r="D64" s="154"/>
      <c r="E64" s="154"/>
      <c r="F64" s="154"/>
    </row>
    <row r="65" spans="1:6" s="22" customFormat="1" ht="15.75">
      <c r="A65" s="181"/>
      <c r="B65" s="153" t="s">
        <v>90</v>
      </c>
      <c r="C65" s="148">
        <f>C43+C53</f>
        <v>10563511.02</v>
      </c>
      <c r="D65" s="148">
        <f>D43+D53</f>
        <v>10652336.71</v>
      </c>
      <c r="E65" s="148">
        <f>E43+E53</f>
        <v>14170718.77</v>
      </c>
      <c r="F65" s="148">
        <f>F43+F53+F62+F63</f>
        <v>14350000</v>
      </c>
    </row>
    <row r="66" spans="1:6" ht="13.5" thickBot="1">
      <c r="A66" s="185"/>
      <c r="B66" s="54"/>
      <c r="C66" s="55"/>
      <c r="D66" s="55"/>
      <c r="E66" s="55"/>
      <c r="F66" s="55"/>
    </row>
    <row r="67" spans="1:6" ht="16.5" thickTop="1">
      <c r="A67" s="185"/>
      <c r="B67" s="158" t="s">
        <v>198</v>
      </c>
      <c r="C67" s="159">
        <v>2006</v>
      </c>
      <c r="D67" s="159">
        <v>2007</v>
      </c>
      <c r="E67" s="159">
        <v>2008</v>
      </c>
      <c r="F67" s="160">
        <v>2009</v>
      </c>
    </row>
    <row r="68" spans="1:6" s="22" customFormat="1" ht="15.75">
      <c r="A68" s="186"/>
      <c r="B68" s="152" t="s">
        <v>204</v>
      </c>
      <c r="C68" s="161">
        <v>9200000</v>
      </c>
      <c r="D68" s="161">
        <v>11846500</v>
      </c>
      <c r="E68" s="161">
        <v>12535000</v>
      </c>
      <c r="F68" s="161">
        <v>12535000</v>
      </c>
    </row>
    <row r="69" spans="1:6" ht="15">
      <c r="A69" s="185"/>
      <c r="B69" s="152" t="s">
        <v>157</v>
      </c>
      <c r="C69" s="162">
        <v>190000</v>
      </c>
      <c r="D69" s="162">
        <v>181000</v>
      </c>
      <c r="E69" s="162">
        <v>60000</v>
      </c>
      <c r="F69" s="162">
        <v>6000</v>
      </c>
    </row>
    <row r="70" spans="1:6" ht="15">
      <c r="A70" s="185"/>
      <c r="B70" s="152" t="s">
        <v>158</v>
      </c>
      <c r="C70" s="162">
        <v>0</v>
      </c>
      <c r="D70" s="162">
        <v>0</v>
      </c>
      <c r="E70" s="162">
        <v>0</v>
      </c>
      <c r="F70" s="162">
        <v>0</v>
      </c>
    </row>
    <row r="71" spans="1:6" ht="15">
      <c r="A71" s="185"/>
      <c r="B71" s="152" t="s">
        <v>159</v>
      </c>
      <c r="C71" s="162">
        <v>30000</v>
      </c>
      <c r="D71" s="162">
        <v>0</v>
      </c>
      <c r="E71" s="162">
        <v>0</v>
      </c>
      <c r="F71" s="162">
        <v>0</v>
      </c>
    </row>
    <row r="72" spans="1:6" ht="15">
      <c r="A72" s="185"/>
      <c r="B72" s="152" t="s">
        <v>164</v>
      </c>
      <c r="C72" s="162">
        <v>0</v>
      </c>
      <c r="D72" s="162">
        <v>0</v>
      </c>
      <c r="E72" s="162">
        <v>0</v>
      </c>
      <c r="F72" s="162">
        <v>0</v>
      </c>
    </row>
    <row r="73" spans="1:6" s="22" customFormat="1" ht="15.75">
      <c r="A73" s="186"/>
      <c r="B73" s="152" t="s">
        <v>160</v>
      </c>
      <c r="C73" s="161">
        <v>8000000</v>
      </c>
      <c r="D73" s="161">
        <v>8850000</v>
      </c>
      <c r="E73" s="161">
        <v>11115000</v>
      </c>
      <c r="F73" s="161">
        <v>11685250</v>
      </c>
    </row>
    <row r="74" spans="1:6" ht="15">
      <c r="A74" s="185"/>
      <c r="B74" s="152" t="s">
        <v>80</v>
      </c>
      <c r="C74" s="162">
        <v>1555.33</v>
      </c>
      <c r="D74" s="162">
        <v>2500</v>
      </c>
      <c r="E74" s="162">
        <v>0</v>
      </c>
      <c r="F74" s="162">
        <v>20000</v>
      </c>
    </row>
    <row r="75" spans="1:6" ht="15">
      <c r="A75" s="185"/>
      <c r="B75" s="152" t="s">
        <v>161</v>
      </c>
      <c r="C75" s="162">
        <v>75000</v>
      </c>
      <c r="D75" s="162">
        <v>0</v>
      </c>
      <c r="E75" s="162">
        <v>0</v>
      </c>
      <c r="F75" s="162">
        <v>160000</v>
      </c>
    </row>
    <row r="76" spans="1:6" ht="15">
      <c r="A76" s="187"/>
      <c r="B76" s="257" t="s">
        <v>162</v>
      </c>
      <c r="C76" s="162">
        <v>30000</v>
      </c>
      <c r="D76" s="162">
        <v>10000</v>
      </c>
      <c r="E76" s="162">
        <v>0</v>
      </c>
      <c r="F76" s="162">
        <v>1000</v>
      </c>
    </row>
  </sheetData>
  <sheetProtection/>
  <mergeCells count="8">
    <mergeCell ref="A1:F1"/>
    <mergeCell ref="A2:F2"/>
    <mergeCell ref="A5:F5"/>
    <mergeCell ref="A6:A7"/>
    <mergeCell ref="B6:B7"/>
    <mergeCell ref="A41:A42"/>
    <mergeCell ref="B41:B42"/>
    <mergeCell ref="A3:F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/>
  <dimension ref="A1:G29"/>
  <sheetViews>
    <sheetView view="pageBreakPreview" zoomScaleNormal="95" zoomScaleSheetLayoutView="100" zoomScalePageLayoutView="0" workbookViewId="0" topLeftCell="A1">
      <selection activeCell="J32" sqref="J32"/>
    </sheetView>
  </sheetViews>
  <sheetFormatPr defaultColWidth="9.140625" defaultRowHeight="12.75"/>
  <cols>
    <col min="1" max="1" width="22.00390625" style="36" customWidth="1"/>
    <col min="2" max="2" width="17.57421875" style="36" customWidth="1"/>
    <col min="3" max="3" width="10.140625" style="36" customWidth="1"/>
    <col min="4" max="4" width="17.7109375" style="36" customWidth="1"/>
    <col min="5" max="5" width="10.421875" style="36" customWidth="1"/>
    <col min="6" max="6" width="18.00390625" style="36" customWidth="1"/>
    <col min="7" max="7" width="10.7109375" style="36" customWidth="1"/>
    <col min="8" max="16384" width="9.140625" style="36" customWidth="1"/>
  </cols>
  <sheetData>
    <row r="1" spans="1:7" ht="15">
      <c r="A1" s="438" t="str">
        <f>Parâmetros!A7</f>
        <v>Município de : J A G U A R I - RS</v>
      </c>
      <c r="B1" s="441"/>
      <c r="C1" s="441"/>
      <c r="D1" s="441"/>
      <c r="E1" s="441"/>
      <c r="F1" s="441"/>
      <c r="G1" s="496"/>
    </row>
    <row r="2" spans="1:7" ht="15">
      <c r="A2" s="440" t="s">
        <v>42</v>
      </c>
      <c r="B2" s="441"/>
      <c r="C2" s="441"/>
      <c r="D2" s="441"/>
      <c r="E2" s="441"/>
      <c r="F2" s="441"/>
      <c r="G2" s="496"/>
    </row>
    <row r="3" spans="1:7" ht="15">
      <c r="A3" s="440" t="s">
        <v>167</v>
      </c>
      <c r="B3" s="441"/>
      <c r="C3" s="441"/>
      <c r="D3" s="441"/>
      <c r="E3" s="441"/>
      <c r="F3" s="441"/>
      <c r="G3" s="496"/>
    </row>
    <row r="4" spans="1:7" ht="15.75">
      <c r="A4" s="442" t="s">
        <v>172</v>
      </c>
      <c r="B4" s="443"/>
      <c r="C4" s="443"/>
      <c r="D4" s="443"/>
      <c r="E4" s="443"/>
      <c r="F4" s="443"/>
      <c r="G4" s="512"/>
    </row>
    <row r="5" spans="1:7" ht="15">
      <c r="A5" s="440" t="s">
        <v>295</v>
      </c>
      <c r="B5" s="441"/>
      <c r="C5" s="441"/>
      <c r="D5" s="441"/>
      <c r="E5" s="441"/>
      <c r="F5" s="441"/>
      <c r="G5" s="496"/>
    </row>
    <row r="6" spans="1:7" ht="12.75">
      <c r="A6" s="497"/>
      <c r="B6" s="498"/>
      <c r="C6" s="498"/>
      <c r="D6" s="498"/>
      <c r="E6" s="498"/>
      <c r="F6" s="498"/>
      <c r="G6" s="499"/>
    </row>
    <row r="7" spans="1:7" ht="15">
      <c r="A7" s="517" t="s">
        <v>283</v>
      </c>
      <c r="B7" s="518"/>
      <c r="C7" s="47"/>
      <c r="D7" s="47"/>
      <c r="E7" s="47"/>
      <c r="F7" s="47"/>
      <c r="G7" s="43">
        <v>1</v>
      </c>
    </row>
    <row r="8" spans="1:7" ht="15.75" customHeight="1">
      <c r="A8" s="513" t="s">
        <v>290</v>
      </c>
      <c r="B8" s="514"/>
      <c r="C8" s="514"/>
      <c r="D8" s="514"/>
      <c r="E8" s="514"/>
      <c r="F8" s="514"/>
      <c r="G8" s="515"/>
    </row>
    <row r="9" spans="1:7" s="40" customFormat="1" ht="25.5" customHeight="1">
      <c r="A9" s="146" t="s">
        <v>118</v>
      </c>
      <c r="B9" s="291">
        <v>2008</v>
      </c>
      <c r="C9" s="291" t="s">
        <v>19</v>
      </c>
      <c r="D9" s="291">
        <v>2007</v>
      </c>
      <c r="E9" s="291" t="s">
        <v>19</v>
      </c>
      <c r="F9" s="291">
        <v>2006</v>
      </c>
      <c r="G9" s="291" t="s">
        <v>19</v>
      </c>
    </row>
    <row r="10" spans="1:7" ht="15">
      <c r="A10" s="395" t="s">
        <v>119</v>
      </c>
      <c r="B10" s="396">
        <f>D13</f>
        <v>7978233.85</v>
      </c>
      <c r="C10" s="397">
        <f>IF(B13=0,"-",(B10/B13))</f>
        <v>1.000403677007976</v>
      </c>
      <c r="D10" s="396">
        <f>F13</f>
        <v>4304375.95</v>
      </c>
      <c r="E10" s="397">
        <f>IF(D13=0,"-",(D10/D13))</f>
        <v>0.5395148890001514</v>
      </c>
      <c r="F10" s="398"/>
      <c r="G10" s="397">
        <f>IF(F13=0,"-",(F10/F13))</f>
        <v>0</v>
      </c>
    </row>
    <row r="11" spans="1:7" ht="15">
      <c r="A11" s="395" t="s">
        <v>46</v>
      </c>
      <c r="B11" s="399"/>
      <c r="C11" s="397">
        <f>IF(B13=0,"-",(B11/B13))</f>
        <v>0</v>
      </c>
      <c r="D11" s="399"/>
      <c r="E11" s="397">
        <f>IF(D13=0,"-",(D11/D13))</f>
        <v>0</v>
      </c>
      <c r="F11" s="399"/>
      <c r="G11" s="397">
        <f>IF(F13=0,"-",(F11/F13))</f>
        <v>0</v>
      </c>
    </row>
    <row r="12" spans="1:7" ht="30">
      <c r="A12" s="400" t="s">
        <v>120</v>
      </c>
      <c r="B12" s="401">
        <v>-3219.33</v>
      </c>
      <c r="C12" s="402">
        <f>IF(B13=0,"-",(B12/B13))</f>
        <v>-0.00040367700797615605</v>
      </c>
      <c r="D12" s="401">
        <v>3673857.9</v>
      </c>
      <c r="E12" s="402">
        <f>IF(D13=0,"-",(D12/D13))</f>
        <v>0.4604851109998487</v>
      </c>
      <c r="F12" s="401">
        <v>4304375.95</v>
      </c>
      <c r="G12" s="402">
        <f>IF(F13=0,"-",(F12/F13))</f>
        <v>1</v>
      </c>
    </row>
    <row r="13" spans="1:7" ht="15.75">
      <c r="A13" s="403" t="s">
        <v>121</v>
      </c>
      <c r="B13" s="404">
        <f>SUM(B10:B12)</f>
        <v>7975014.52</v>
      </c>
      <c r="C13" s="402">
        <f>IF(B13=0,"-",(B13/B13))</f>
        <v>1</v>
      </c>
      <c r="D13" s="404">
        <f>SUM(D10:D12)</f>
        <v>7978233.85</v>
      </c>
      <c r="E13" s="402">
        <f>IF(D13=0,"-",(D13/D13))</f>
        <v>1</v>
      </c>
      <c r="F13" s="404">
        <f>SUM(F10:F12)</f>
        <v>4304375.95</v>
      </c>
      <c r="G13" s="402">
        <f>IF(F13=0,"-",(F13/F13))</f>
        <v>1</v>
      </c>
    </row>
    <row r="14" spans="1:7" ht="12.75">
      <c r="A14" s="516"/>
      <c r="B14" s="516"/>
      <c r="C14" s="516"/>
      <c r="D14" s="516"/>
      <c r="E14" s="516"/>
      <c r="F14" s="516"/>
      <c r="G14" s="516"/>
    </row>
    <row r="15" spans="1:7" ht="15.75" customHeight="1">
      <c r="A15" s="513" t="s">
        <v>122</v>
      </c>
      <c r="B15" s="514"/>
      <c r="C15" s="514"/>
      <c r="D15" s="514"/>
      <c r="E15" s="514"/>
      <c r="F15" s="514"/>
      <c r="G15" s="515"/>
    </row>
    <row r="16" spans="1:7" s="40" customFormat="1" ht="25.5" customHeight="1">
      <c r="A16" s="146" t="s">
        <v>118</v>
      </c>
      <c r="B16" s="291">
        <v>2008</v>
      </c>
      <c r="C16" s="291" t="s">
        <v>19</v>
      </c>
      <c r="D16" s="291">
        <v>2007</v>
      </c>
      <c r="E16" s="291" t="s">
        <v>19</v>
      </c>
      <c r="F16" s="291">
        <v>2006</v>
      </c>
      <c r="G16" s="291" t="s">
        <v>19</v>
      </c>
    </row>
    <row r="17" spans="1:7" ht="15">
      <c r="A17" s="395" t="s">
        <v>119</v>
      </c>
      <c r="B17" s="396">
        <f>D20</f>
        <v>2270832.2</v>
      </c>
      <c r="C17" s="397">
        <f>IF(B20=0,"-",(B17/B20))</f>
        <v>1</v>
      </c>
      <c r="D17" s="396">
        <f>F20</f>
        <v>1429054.37</v>
      </c>
      <c r="E17" s="397">
        <f>IF(D20=0,"-",(D17/D20))</f>
        <v>0.6293086604990012</v>
      </c>
      <c r="F17" s="398"/>
      <c r="G17" s="397">
        <f>IF(F20=0,"-",(F17/F20))</f>
        <v>0</v>
      </c>
    </row>
    <row r="18" spans="1:7" ht="15">
      <c r="A18" s="395" t="s">
        <v>46</v>
      </c>
      <c r="B18" s="399"/>
      <c r="C18" s="397">
        <f>IF(B20=0,"-",(B18/B20))</f>
        <v>0</v>
      </c>
      <c r="D18" s="399"/>
      <c r="E18" s="397">
        <f>IF(D20=0,"-",(D18/D20))</f>
        <v>0</v>
      </c>
      <c r="F18" s="399"/>
      <c r="G18" s="397">
        <f>IF(F20=0,"-",(F18/F20))</f>
        <v>0</v>
      </c>
    </row>
    <row r="19" spans="1:7" ht="30">
      <c r="A19" s="400" t="s">
        <v>120</v>
      </c>
      <c r="B19" s="401"/>
      <c r="C19" s="402">
        <f>IF(B20=0,"-",(B19/B20))</f>
        <v>0</v>
      </c>
      <c r="D19" s="401">
        <v>841777.83</v>
      </c>
      <c r="E19" s="402">
        <f>IF(D20=0,"-",(D19/D20))</f>
        <v>0.37069133950099875</v>
      </c>
      <c r="F19" s="401">
        <v>1429054.37</v>
      </c>
      <c r="G19" s="402">
        <f>IF(F20=0,"-",(F19/F20))</f>
        <v>1</v>
      </c>
    </row>
    <row r="20" spans="1:7" ht="15.75">
      <c r="A20" s="403" t="s">
        <v>121</v>
      </c>
      <c r="B20" s="404">
        <f>SUM(B17:B19)</f>
        <v>2270832.2</v>
      </c>
      <c r="C20" s="402">
        <f>IF(B20=0,"-",(B20/B20))</f>
        <v>1</v>
      </c>
      <c r="D20" s="404">
        <f>SUM(D17:D19)</f>
        <v>2270832.2</v>
      </c>
      <c r="E20" s="402">
        <f>IF(D20=0,"-",(D20/D20))</f>
        <v>1</v>
      </c>
      <c r="F20" s="404">
        <f>SUM(F17:F19)</f>
        <v>1429054.37</v>
      </c>
      <c r="G20" s="402">
        <f>IF(F20=0,"-",(F20/F20))</f>
        <v>1</v>
      </c>
    </row>
    <row r="21" spans="1:7" ht="12.75">
      <c r="A21" s="519"/>
      <c r="B21" s="519"/>
      <c r="C21" s="519"/>
      <c r="D21" s="519"/>
      <c r="E21" s="519"/>
      <c r="F21" s="519"/>
      <c r="G21" s="519"/>
    </row>
    <row r="22" spans="1:7" ht="15.75" customHeight="1">
      <c r="A22" s="513" t="s">
        <v>291</v>
      </c>
      <c r="B22" s="514"/>
      <c r="C22" s="514"/>
      <c r="D22" s="514"/>
      <c r="E22" s="514"/>
      <c r="F22" s="514"/>
      <c r="G22" s="515"/>
    </row>
    <row r="23" spans="1:7" s="40" customFormat="1" ht="25.5" customHeight="1">
      <c r="A23" s="146" t="s">
        <v>118</v>
      </c>
      <c r="B23" s="291">
        <v>2008</v>
      </c>
      <c r="C23" s="291" t="s">
        <v>19</v>
      </c>
      <c r="D23" s="291">
        <v>2007</v>
      </c>
      <c r="E23" s="291" t="s">
        <v>19</v>
      </c>
      <c r="F23" s="291">
        <v>2006</v>
      </c>
      <c r="G23" s="291" t="s">
        <v>19</v>
      </c>
    </row>
    <row r="24" spans="1:7" ht="15">
      <c r="A24" s="395" t="s">
        <v>119</v>
      </c>
      <c r="B24" s="396">
        <f>D27</f>
        <v>10249066.05</v>
      </c>
      <c r="C24" s="397">
        <f>IF(B27=0,"-",(B24/B27))</f>
        <v>1.0003142082921967</v>
      </c>
      <c r="D24" s="396">
        <f>F27</f>
        <v>5733430.32</v>
      </c>
      <c r="E24" s="397">
        <f>IF(D27=0,"-",(D24/D27))</f>
        <v>0.5594100274141565</v>
      </c>
      <c r="F24" s="396">
        <f>F10+F17</f>
        <v>0</v>
      </c>
      <c r="G24" s="397">
        <f>IF(F27=0,"-",(F24/F27))</f>
        <v>0</v>
      </c>
    </row>
    <row r="25" spans="1:7" ht="15">
      <c r="A25" s="395" t="s">
        <v>46</v>
      </c>
      <c r="B25" s="405">
        <f>B11+B18</f>
        <v>0</v>
      </c>
      <c r="C25" s="397">
        <f>IF(B27=0,"-",(B25/B27))</f>
        <v>0</v>
      </c>
      <c r="D25" s="405">
        <f>D11+D18</f>
        <v>0</v>
      </c>
      <c r="E25" s="397">
        <f>IF(D27=0,"-",(D25/D27))</f>
        <v>0</v>
      </c>
      <c r="F25" s="405">
        <f>F11+F18</f>
        <v>0</v>
      </c>
      <c r="G25" s="397">
        <f>IF(F27=0,"-",(F25/F27))</f>
        <v>0</v>
      </c>
    </row>
    <row r="26" spans="1:7" ht="30">
      <c r="A26" s="400" t="s">
        <v>120</v>
      </c>
      <c r="B26" s="406">
        <f>B12+B19</f>
        <v>-3219.33</v>
      </c>
      <c r="C26" s="402">
        <f>IF(B27=0,"-",(B26/B27))</f>
        <v>-0.0003142082921966648</v>
      </c>
      <c r="D26" s="406">
        <f>D12+D19</f>
        <v>4515635.7299999995</v>
      </c>
      <c r="E26" s="402">
        <f>IF(D27=0,"-",(D26/D27))</f>
        <v>0.4405899725858435</v>
      </c>
      <c r="F26" s="406">
        <f>F12+F19</f>
        <v>5733430.32</v>
      </c>
      <c r="G26" s="402">
        <f>IF(F27=0,"-",(F26/F27))</f>
        <v>1</v>
      </c>
    </row>
    <row r="27" spans="1:7" ht="15.75">
      <c r="A27" s="403" t="s">
        <v>121</v>
      </c>
      <c r="B27" s="404">
        <f>SUM(B24:B26)</f>
        <v>10245846.72</v>
      </c>
      <c r="C27" s="402">
        <f>IF(B27=0,"-",(B27/B27))</f>
        <v>1</v>
      </c>
      <c r="D27" s="404">
        <f>SUM(D24:D26)</f>
        <v>10249066.05</v>
      </c>
      <c r="E27" s="402">
        <f>IF(D27=0,"-",(D27/D27))</f>
        <v>1</v>
      </c>
      <c r="F27" s="404">
        <f>SUM(F24:F26)</f>
        <v>5733430.32</v>
      </c>
      <c r="G27" s="402">
        <f>IF(F27=0,"-",(F27/F27))</f>
        <v>1</v>
      </c>
    </row>
    <row r="28" spans="1:7" ht="15">
      <c r="A28" s="288"/>
      <c r="B28" s="289"/>
      <c r="C28" s="290"/>
      <c r="D28" s="289"/>
      <c r="E28" s="290"/>
      <c r="F28" s="289"/>
      <c r="G28" s="290"/>
    </row>
    <row r="29" spans="1:7" ht="15">
      <c r="A29" s="288"/>
      <c r="B29" s="289"/>
      <c r="C29" s="290"/>
      <c r="D29" s="289"/>
      <c r="E29" s="290"/>
      <c r="F29" s="289"/>
      <c r="G29" s="290"/>
    </row>
  </sheetData>
  <sheetProtection/>
  <mergeCells count="12">
    <mergeCell ref="A8:G8"/>
    <mergeCell ref="A21:G21"/>
    <mergeCell ref="A3:G3"/>
    <mergeCell ref="A4:G4"/>
    <mergeCell ref="A5:G5"/>
    <mergeCell ref="A6:G6"/>
    <mergeCell ref="A22:G22"/>
    <mergeCell ref="A1:G1"/>
    <mergeCell ref="A2:G2"/>
    <mergeCell ref="A14:G14"/>
    <mergeCell ref="A15:G15"/>
    <mergeCell ref="A7:B7"/>
  </mergeCells>
  <printOptions/>
  <pageMargins left="0.787401575" right="0.787401575" top="0.984251969" bottom="0.984251969" header="0.492125985" footer="0.492125985"/>
  <pageSetup horizontalDpi="300" verticalDpi="3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D30"/>
  <sheetViews>
    <sheetView zoomScaleSheetLayoutView="100" workbookViewId="0" topLeftCell="A1">
      <selection activeCell="F26" sqref="F26"/>
    </sheetView>
  </sheetViews>
  <sheetFormatPr defaultColWidth="9.140625" defaultRowHeight="12.75"/>
  <cols>
    <col min="1" max="1" width="58.421875" style="48" customWidth="1"/>
    <col min="2" max="3" width="14.7109375" style="48" customWidth="1"/>
    <col min="4" max="4" width="15.7109375" style="48" customWidth="1"/>
    <col min="5" max="16384" width="9.140625" style="48" customWidth="1"/>
  </cols>
  <sheetData>
    <row r="1" spans="1:4" ht="15">
      <c r="A1" s="438" t="str">
        <f>Parâmetros!A7</f>
        <v>Município de : J A G U A R I - RS</v>
      </c>
      <c r="B1" s="441"/>
      <c r="C1" s="441"/>
      <c r="D1" s="496"/>
    </row>
    <row r="2" spans="1:4" ht="15">
      <c r="A2" s="440" t="s">
        <v>42</v>
      </c>
      <c r="B2" s="441"/>
      <c r="C2" s="441"/>
      <c r="D2" s="496"/>
    </row>
    <row r="3" spans="1:4" ht="15">
      <c r="A3" s="440" t="s">
        <v>167</v>
      </c>
      <c r="B3" s="441"/>
      <c r="C3" s="441"/>
      <c r="D3" s="496"/>
    </row>
    <row r="4" spans="1:4" ht="14.25">
      <c r="A4" s="526" t="s">
        <v>173</v>
      </c>
      <c r="B4" s="527"/>
      <c r="C4" s="527"/>
      <c r="D4" s="528"/>
    </row>
    <row r="5" spans="1:4" ht="15">
      <c r="A5" s="440" t="s">
        <v>296</v>
      </c>
      <c r="B5" s="441"/>
      <c r="C5" s="441"/>
      <c r="D5" s="496"/>
    </row>
    <row r="6" spans="1:4" ht="14.25">
      <c r="A6" s="529"/>
      <c r="B6" s="530"/>
      <c r="C6" s="530"/>
      <c r="D6" s="531"/>
    </row>
    <row r="7" spans="1:4" ht="14.25">
      <c r="A7" s="122" t="s">
        <v>284</v>
      </c>
      <c r="B7" s="49"/>
      <c r="C7" s="49"/>
      <c r="D7" s="50">
        <v>1</v>
      </c>
    </row>
    <row r="8" spans="1:4" s="52" customFormat="1" ht="25.5" customHeight="1">
      <c r="A8" s="292" t="s">
        <v>123</v>
      </c>
      <c r="B8" s="51">
        <v>2008</v>
      </c>
      <c r="C8" s="51">
        <v>2007</v>
      </c>
      <c r="D8" s="292">
        <v>2006</v>
      </c>
    </row>
    <row r="9" spans="1:4" s="52" customFormat="1" ht="14.25">
      <c r="A9" s="293" t="s">
        <v>306</v>
      </c>
      <c r="B9" s="85"/>
      <c r="C9" s="85"/>
      <c r="D9" s="296">
        <v>0</v>
      </c>
    </row>
    <row r="10" spans="1:4" ht="12.75" customHeight="1">
      <c r="A10" s="294" t="s">
        <v>65</v>
      </c>
      <c r="B10" s="86">
        <f>B11</f>
        <v>0</v>
      </c>
      <c r="C10" s="86">
        <f>C11</f>
        <v>0</v>
      </c>
      <c r="D10" s="297">
        <f>D11</f>
        <v>74500</v>
      </c>
    </row>
    <row r="11" spans="1:4" ht="12.75" customHeight="1">
      <c r="A11" s="294" t="s">
        <v>124</v>
      </c>
      <c r="B11" s="86">
        <f>B12+B13</f>
        <v>0</v>
      </c>
      <c r="C11" s="86">
        <f>C12+C13</f>
        <v>0</v>
      </c>
      <c r="D11" s="297">
        <f>D12+D13</f>
        <v>74500</v>
      </c>
    </row>
    <row r="12" spans="1:4" ht="12.75" customHeight="1">
      <c r="A12" s="294" t="s">
        <v>125</v>
      </c>
      <c r="B12" s="108">
        <v>0</v>
      </c>
      <c r="C12" s="108">
        <v>0</v>
      </c>
      <c r="D12" s="298">
        <v>74500</v>
      </c>
    </row>
    <row r="13" spans="1:4" ht="12.75" customHeight="1">
      <c r="A13" s="294" t="s">
        <v>126</v>
      </c>
      <c r="B13" s="108">
        <v>0</v>
      </c>
      <c r="C13" s="108">
        <v>0</v>
      </c>
      <c r="D13" s="298">
        <v>0</v>
      </c>
    </row>
    <row r="14" spans="1:4" ht="12.75" customHeight="1">
      <c r="A14" s="295" t="s">
        <v>207</v>
      </c>
      <c r="B14" s="109">
        <v>0</v>
      </c>
      <c r="C14" s="109">
        <v>0</v>
      </c>
      <c r="D14" s="299">
        <v>0</v>
      </c>
    </row>
    <row r="15" spans="1:4" ht="14.25">
      <c r="A15" s="295" t="s">
        <v>127</v>
      </c>
      <c r="B15" s="87">
        <f>B12+B13+B14</f>
        <v>0</v>
      </c>
      <c r="C15" s="87">
        <f>C12+C13+C14</f>
        <v>0</v>
      </c>
      <c r="D15" s="300">
        <f>D9+D12+D13+D14</f>
        <v>74500</v>
      </c>
    </row>
    <row r="16" spans="1:4" ht="14.25">
      <c r="A16" s="520"/>
      <c r="B16" s="520"/>
      <c r="C16" s="520"/>
      <c r="D16" s="520"/>
    </row>
    <row r="17" spans="1:4" s="52" customFormat="1" ht="14.25">
      <c r="A17" s="524" t="s">
        <v>307</v>
      </c>
      <c r="B17" s="524">
        <v>2008</v>
      </c>
      <c r="C17" s="524">
        <v>2007</v>
      </c>
      <c r="D17" s="524">
        <v>2006</v>
      </c>
    </row>
    <row r="18" spans="1:4" s="52" customFormat="1" ht="14.25">
      <c r="A18" s="525"/>
      <c r="B18" s="525"/>
      <c r="C18" s="525"/>
      <c r="D18" s="525"/>
    </row>
    <row r="19" spans="1:4" ht="14.25" customHeight="1">
      <c r="A19" s="294" t="s">
        <v>128</v>
      </c>
      <c r="B19" s="110">
        <v>0</v>
      </c>
      <c r="C19" s="110">
        <v>0</v>
      </c>
      <c r="D19" s="301">
        <v>0</v>
      </c>
    </row>
    <row r="20" spans="1:4" ht="14.25">
      <c r="A20" s="294" t="s">
        <v>129</v>
      </c>
      <c r="B20" s="86">
        <f>B21+B22+B23</f>
        <v>0</v>
      </c>
      <c r="C20" s="86">
        <f>C21+C22+C23</f>
        <v>0</v>
      </c>
      <c r="D20" s="297">
        <f>D21+D22+D23</f>
        <v>74500</v>
      </c>
    </row>
    <row r="21" spans="1:4" ht="14.25">
      <c r="A21" s="294" t="s">
        <v>130</v>
      </c>
      <c r="B21" s="111">
        <v>0</v>
      </c>
      <c r="C21" s="111">
        <v>0</v>
      </c>
      <c r="D21" s="302">
        <v>74500</v>
      </c>
    </row>
    <row r="22" spans="1:4" ht="14.25">
      <c r="A22" s="294" t="s">
        <v>131</v>
      </c>
      <c r="B22" s="111">
        <v>0</v>
      </c>
      <c r="C22" s="111">
        <v>0</v>
      </c>
      <c r="D22" s="302">
        <v>0</v>
      </c>
    </row>
    <row r="23" spans="1:4" ht="14.25">
      <c r="A23" s="294" t="s">
        <v>132</v>
      </c>
      <c r="B23" s="111">
        <v>0</v>
      </c>
      <c r="C23" s="111">
        <v>0</v>
      </c>
      <c r="D23" s="302">
        <v>0</v>
      </c>
    </row>
    <row r="24" spans="1:4" ht="14.25">
      <c r="A24" s="294" t="s">
        <v>133</v>
      </c>
      <c r="B24" s="86">
        <f>B25+B26</f>
        <v>0</v>
      </c>
      <c r="C24" s="86">
        <f>C25+C26</f>
        <v>0</v>
      </c>
      <c r="D24" s="297">
        <f>D25+D26</f>
        <v>0</v>
      </c>
    </row>
    <row r="25" spans="1:4" ht="14.25">
      <c r="A25" s="294" t="s">
        <v>134</v>
      </c>
      <c r="B25" s="111">
        <v>0</v>
      </c>
      <c r="C25" s="111">
        <v>0</v>
      </c>
      <c r="D25" s="302">
        <v>0</v>
      </c>
    </row>
    <row r="26" spans="1:4" ht="14.25">
      <c r="A26" s="295" t="s">
        <v>135</v>
      </c>
      <c r="B26" s="112">
        <v>0</v>
      </c>
      <c r="C26" s="112">
        <v>0</v>
      </c>
      <c r="D26" s="303">
        <v>0</v>
      </c>
    </row>
    <row r="27" spans="1:4" ht="14.25">
      <c r="A27" s="295" t="s">
        <v>127</v>
      </c>
      <c r="B27" s="87">
        <f>B20+B24</f>
        <v>0</v>
      </c>
      <c r="C27" s="87">
        <f>C20+C24</f>
        <v>0</v>
      </c>
      <c r="D27" s="300">
        <f>D20+D24</f>
        <v>74500</v>
      </c>
    </row>
    <row r="28" spans="1:4" ht="14.25">
      <c r="A28" s="521" t="s">
        <v>136</v>
      </c>
      <c r="B28" s="112"/>
      <c r="C28" s="112"/>
      <c r="D28" s="303"/>
    </row>
    <row r="29" spans="1:4" ht="14.25">
      <c r="A29" s="522"/>
      <c r="B29" s="87">
        <f>C29+B15-B27</f>
        <v>0</v>
      </c>
      <c r="C29" s="87">
        <f>D29+C15-C27</f>
        <v>0</v>
      </c>
      <c r="D29" s="300">
        <f>D15-D27</f>
        <v>0</v>
      </c>
    </row>
    <row r="30" spans="1:4" ht="14.25">
      <c r="A30" s="483" t="s">
        <v>348</v>
      </c>
      <c r="B30" s="523"/>
      <c r="C30" s="523"/>
      <c r="D30" s="523"/>
    </row>
  </sheetData>
  <sheetProtection/>
  <mergeCells count="13">
    <mergeCell ref="A1:D1"/>
    <mergeCell ref="A2:D2"/>
    <mergeCell ref="A3:D3"/>
    <mergeCell ref="A4:D4"/>
    <mergeCell ref="A5:D5"/>
    <mergeCell ref="A6:D6"/>
    <mergeCell ref="A16:D16"/>
    <mergeCell ref="A28:A29"/>
    <mergeCell ref="A30:D30"/>
    <mergeCell ref="A17:A18"/>
    <mergeCell ref="B17:B18"/>
    <mergeCell ref="C17:C18"/>
    <mergeCell ref="D17:D18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59" sqref="A59:D59"/>
    </sheetView>
  </sheetViews>
  <sheetFormatPr defaultColWidth="9.140625" defaultRowHeight="11.25" customHeight="1"/>
  <cols>
    <col min="1" max="3" width="12.8515625" style="88" customWidth="1"/>
    <col min="4" max="4" width="24.00390625" style="88" customWidth="1"/>
    <col min="5" max="5" width="14.28125" style="88" bestFit="1" customWidth="1"/>
    <col min="6" max="7" width="15.8515625" style="88" bestFit="1" customWidth="1"/>
    <col min="8" max="8" width="12.8515625" style="88" customWidth="1"/>
    <col min="9" max="16384" width="9.140625" style="88" customWidth="1"/>
  </cols>
  <sheetData>
    <row r="1" spans="1:7" ht="15.75">
      <c r="A1" s="567" t="str">
        <f>Parâmetros!A7</f>
        <v>Município de : J A G U A R I - RS</v>
      </c>
      <c r="B1" s="568"/>
      <c r="C1" s="568"/>
      <c r="D1" s="568"/>
      <c r="E1" s="568"/>
      <c r="F1" s="568"/>
      <c r="G1" s="568"/>
    </row>
    <row r="2" spans="1:7" ht="11.25" customHeight="1">
      <c r="A2" s="569" t="s">
        <v>42</v>
      </c>
      <c r="B2" s="569"/>
      <c r="C2" s="569"/>
      <c r="D2" s="569"/>
      <c r="E2" s="569"/>
      <c r="F2" s="569"/>
      <c r="G2" s="569"/>
    </row>
    <row r="3" spans="1:7" ht="11.25" customHeight="1">
      <c r="A3" s="569" t="s">
        <v>242</v>
      </c>
      <c r="B3" s="569"/>
      <c r="C3" s="569"/>
      <c r="D3" s="569"/>
      <c r="E3" s="569"/>
      <c r="F3" s="569"/>
      <c r="G3" s="569"/>
    </row>
    <row r="4" spans="1:7" ht="11.25" customHeight="1">
      <c r="A4" s="570" t="s">
        <v>309</v>
      </c>
      <c r="B4" s="570"/>
      <c r="C4" s="570"/>
      <c r="D4" s="570"/>
      <c r="E4" s="570"/>
      <c r="F4" s="570"/>
      <c r="G4" s="570"/>
    </row>
    <row r="5" spans="1:7" ht="11.25" customHeight="1">
      <c r="A5" s="569" t="s">
        <v>297</v>
      </c>
      <c r="B5" s="569"/>
      <c r="C5" s="569"/>
      <c r="D5" s="569"/>
      <c r="E5" s="569"/>
      <c r="F5" s="569"/>
      <c r="G5" s="569"/>
    </row>
    <row r="6" spans="1:7" ht="11.25" customHeight="1">
      <c r="A6" s="571"/>
      <c r="B6" s="571"/>
      <c r="C6" s="571"/>
      <c r="D6" s="571"/>
      <c r="E6" s="571"/>
      <c r="F6" s="571"/>
      <c r="G6" s="572"/>
    </row>
    <row r="7" spans="1:7" ht="11.25" customHeight="1">
      <c r="A7" s="565" t="s">
        <v>310</v>
      </c>
      <c r="B7" s="565"/>
      <c r="C7" s="565"/>
      <c r="D7" s="566"/>
      <c r="E7" s="89"/>
      <c r="F7" s="89"/>
      <c r="G7" s="90">
        <v>1</v>
      </c>
    </row>
    <row r="8" spans="1:7" ht="11.25" customHeight="1">
      <c r="A8" s="553" t="s">
        <v>311</v>
      </c>
      <c r="B8" s="554"/>
      <c r="C8" s="554"/>
      <c r="D8" s="555"/>
      <c r="E8" s="532">
        <v>2006</v>
      </c>
      <c r="F8" s="532">
        <v>2007</v>
      </c>
      <c r="G8" s="532">
        <v>2008</v>
      </c>
    </row>
    <row r="9" spans="1:7" s="93" customFormat="1" ht="11.25" customHeight="1">
      <c r="A9" s="556"/>
      <c r="B9" s="557"/>
      <c r="C9" s="557"/>
      <c r="D9" s="558"/>
      <c r="E9" s="533"/>
      <c r="F9" s="533"/>
      <c r="G9" s="533"/>
    </row>
    <row r="10" spans="1:7" s="93" customFormat="1" ht="15">
      <c r="A10" s="304" t="s">
        <v>312</v>
      </c>
      <c r="B10" s="95"/>
      <c r="C10" s="95"/>
      <c r="D10" s="96"/>
      <c r="E10" s="410">
        <f>E11+E21-E25</f>
        <v>407171.81</v>
      </c>
      <c r="F10" s="411">
        <f>F11+F21-F25</f>
        <v>683363.2</v>
      </c>
      <c r="G10" s="411">
        <f>G11+G21-G25</f>
        <v>676590.51</v>
      </c>
    </row>
    <row r="11" spans="1:7" ht="15">
      <c r="A11" s="544" t="s">
        <v>243</v>
      </c>
      <c r="B11" s="545"/>
      <c r="C11" s="545"/>
      <c r="D11" s="546"/>
      <c r="E11" s="141">
        <f>E12+E15+E16+E17+E18</f>
        <v>407171.81</v>
      </c>
      <c r="F11" s="141">
        <f>F12+F15+F16+F17+F18</f>
        <v>683363.2</v>
      </c>
      <c r="G11" s="141">
        <f>G12+G15+G16+G17+G18</f>
        <v>676590.51</v>
      </c>
    </row>
    <row r="12" spans="1:7" ht="15">
      <c r="A12" s="544" t="s">
        <v>313</v>
      </c>
      <c r="B12" s="545"/>
      <c r="C12" s="545"/>
      <c r="D12" s="546"/>
      <c r="E12" s="141">
        <f>E13+E14</f>
        <v>207393.45</v>
      </c>
      <c r="F12" s="141">
        <f>F13+F14</f>
        <v>482891.53</v>
      </c>
      <c r="G12" s="141">
        <f>G13+G14</f>
        <v>264048.05</v>
      </c>
    </row>
    <row r="13" spans="1:7" ht="15">
      <c r="A13" s="544" t="s">
        <v>245</v>
      </c>
      <c r="B13" s="545"/>
      <c r="C13" s="545"/>
      <c r="D13" s="546"/>
      <c r="E13" s="140">
        <v>207393.45</v>
      </c>
      <c r="F13" s="140">
        <v>482891.53</v>
      </c>
      <c r="G13" s="140">
        <v>264048.05</v>
      </c>
    </row>
    <row r="14" spans="1:7" ht="11.25" customHeight="1">
      <c r="A14" s="544" t="s">
        <v>246</v>
      </c>
      <c r="B14" s="545"/>
      <c r="C14" s="545"/>
      <c r="D14" s="546"/>
      <c r="E14" s="140"/>
      <c r="F14" s="140"/>
      <c r="G14" s="140"/>
    </row>
    <row r="15" spans="1:7" ht="11.25" customHeight="1">
      <c r="A15" s="304" t="s">
        <v>314</v>
      </c>
      <c r="B15" s="97"/>
      <c r="C15" s="97"/>
      <c r="D15" s="98"/>
      <c r="E15" s="140"/>
      <c r="F15" s="140"/>
      <c r="G15" s="140"/>
    </row>
    <row r="16" spans="1:7" ht="15">
      <c r="A16" s="544" t="s">
        <v>247</v>
      </c>
      <c r="B16" s="545"/>
      <c r="C16" s="545"/>
      <c r="D16" s="546"/>
      <c r="E16" s="140">
        <v>195159.62</v>
      </c>
      <c r="F16" s="140">
        <v>196845.48</v>
      </c>
      <c r="G16" s="140">
        <v>309591.06</v>
      </c>
    </row>
    <row r="17" spans="1:7" ht="10.5" customHeight="1">
      <c r="A17" s="544" t="s">
        <v>248</v>
      </c>
      <c r="B17" s="545"/>
      <c r="C17" s="545"/>
      <c r="D17" s="546"/>
      <c r="E17" s="140"/>
      <c r="F17" s="140"/>
      <c r="G17" s="140"/>
    </row>
    <row r="18" spans="1:7" ht="15">
      <c r="A18" s="544" t="s">
        <v>249</v>
      </c>
      <c r="B18" s="545"/>
      <c r="C18" s="545"/>
      <c r="D18" s="546"/>
      <c r="E18" s="141">
        <f>E19+E20</f>
        <v>4618.74</v>
      </c>
      <c r="F18" s="141">
        <f>F19+F20</f>
        <v>3626.19</v>
      </c>
      <c r="G18" s="141">
        <f>G19+G20</f>
        <v>102951.4</v>
      </c>
    </row>
    <row r="19" spans="1:7" ht="11.25" customHeight="1">
      <c r="A19" s="562" t="s">
        <v>250</v>
      </c>
      <c r="B19" s="563"/>
      <c r="C19" s="563"/>
      <c r="D19" s="564"/>
      <c r="E19" s="140"/>
      <c r="F19" s="140"/>
      <c r="G19" s="140"/>
    </row>
    <row r="20" spans="1:7" ht="15">
      <c r="A20" s="544" t="s">
        <v>251</v>
      </c>
      <c r="B20" s="545"/>
      <c r="C20" s="545"/>
      <c r="D20" s="546"/>
      <c r="E20" s="140">
        <v>4618.74</v>
      </c>
      <c r="F20" s="140">
        <v>3626.19</v>
      </c>
      <c r="G20" s="140">
        <v>102951.4</v>
      </c>
    </row>
    <row r="21" spans="1:7" ht="11.25" customHeight="1">
      <c r="A21" s="544" t="s">
        <v>252</v>
      </c>
      <c r="B21" s="545"/>
      <c r="C21" s="545"/>
      <c r="D21" s="546"/>
      <c r="E21" s="141">
        <f>E22+E23+E24</f>
        <v>0</v>
      </c>
      <c r="F21" s="141">
        <f>F22+F23+F24</f>
        <v>0</v>
      </c>
      <c r="G21" s="141">
        <f>G22+G23+G24</f>
        <v>0</v>
      </c>
    </row>
    <row r="22" spans="1:7" ht="11.25" customHeight="1">
      <c r="A22" s="544" t="s">
        <v>315</v>
      </c>
      <c r="B22" s="545"/>
      <c r="C22" s="545"/>
      <c r="D22" s="546"/>
      <c r="E22" s="140"/>
      <c r="F22" s="140"/>
      <c r="G22" s="140"/>
    </row>
    <row r="23" spans="1:7" ht="11.25" customHeight="1">
      <c r="A23" s="304" t="s">
        <v>253</v>
      </c>
      <c r="B23" s="97"/>
      <c r="C23" s="97"/>
      <c r="D23" s="98"/>
      <c r="E23" s="140"/>
      <c r="F23" s="140"/>
      <c r="G23" s="140"/>
    </row>
    <row r="24" spans="1:7" ht="11.25" customHeight="1">
      <c r="A24" s="544" t="s">
        <v>254</v>
      </c>
      <c r="B24" s="545"/>
      <c r="C24" s="545"/>
      <c r="D24" s="546"/>
      <c r="E24" s="140"/>
      <c r="F24" s="140"/>
      <c r="G24" s="140"/>
    </row>
    <row r="25" spans="1:7" ht="11.25" customHeight="1">
      <c r="A25" s="304" t="s">
        <v>316</v>
      </c>
      <c r="B25" s="97"/>
      <c r="C25" s="97"/>
      <c r="D25" s="98"/>
      <c r="E25" s="140"/>
      <c r="F25" s="140"/>
      <c r="G25" s="140"/>
    </row>
    <row r="26" spans="1:7" ht="15">
      <c r="A26" s="304" t="s">
        <v>317</v>
      </c>
      <c r="B26" s="97"/>
      <c r="C26" s="97"/>
      <c r="D26" s="98"/>
      <c r="E26" s="141">
        <f>E27+E37-E38</f>
        <v>484937.03</v>
      </c>
      <c r="F26" s="141">
        <f>F27+F37-F38</f>
        <v>843806.1</v>
      </c>
      <c r="G26" s="141">
        <f>G27+G37-G38</f>
        <v>610504</v>
      </c>
    </row>
    <row r="27" spans="1:7" ht="15">
      <c r="A27" s="544" t="s">
        <v>243</v>
      </c>
      <c r="B27" s="545"/>
      <c r="C27" s="545"/>
      <c r="D27" s="546"/>
      <c r="E27" s="141">
        <f>E28+E34+E35+E36</f>
        <v>484937.03</v>
      </c>
      <c r="F27" s="141">
        <f>F28+F34+F35+F36</f>
        <v>843806.1</v>
      </c>
      <c r="G27" s="141">
        <f>G28+G34+G35+G36</f>
        <v>610504</v>
      </c>
    </row>
    <row r="28" spans="1:7" ht="15">
      <c r="A28" s="544" t="s">
        <v>244</v>
      </c>
      <c r="B28" s="545"/>
      <c r="C28" s="545"/>
      <c r="D28" s="546"/>
      <c r="E28" s="141">
        <f>E29+E32+E33</f>
        <v>484937.03</v>
      </c>
      <c r="F28" s="141">
        <f>F29+F32+F33</f>
        <v>843806.1</v>
      </c>
      <c r="G28" s="141">
        <f>G29+G32+G33</f>
        <v>609479.2</v>
      </c>
    </row>
    <row r="29" spans="1:7" ht="15">
      <c r="A29" s="305" t="s">
        <v>318</v>
      </c>
      <c r="B29" s="97"/>
      <c r="C29" s="97"/>
      <c r="D29" s="98"/>
      <c r="E29" s="141">
        <f>E30+E31</f>
        <v>484937.03</v>
      </c>
      <c r="F29" s="141">
        <f>F30+F31</f>
        <v>843806.1</v>
      </c>
      <c r="G29" s="141">
        <f>G30+G31</f>
        <v>609479.2</v>
      </c>
    </row>
    <row r="30" spans="1:7" ht="15">
      <c r="A30" s="544" t="s">
        <v>319</v>
      </c>
      <c r="B30" s="545"/>
      <c r="C30" s="545"/>
      <c r="D30" s="546"/>
      <c r="E30" s="140">
        <v>484937.03</v>
      </c>
      <c r="F30" s="140">
        <v>843806.1</v>
      </c>
      <c r="G30" s="140">
        <v>609479.2</v>
      </c>
    </row>
    <row r="31" spans="1:7" ht="11.25" customHeight="1">
      <c r="A31" s="544" t="s">
        <v>320</v>
      </c>
      <c r="B31" s="545"/>
      <c r="C31" s="545"/>
      <c r="D31" s="546"/>
      <c r="E31" s="140"/>
      <c r="F31" s="140"/>
      <c r="G31" s="140"/>
    </row>
    <row r="32" spans="1:7" ht="11.25" customHeight="1">
      <c r="A32" s="544" t="s">
        <v>321</v>
      </c>
      <c r="B32" s="545"/>
      <c r="C32" s="545"/>
      <c r="D32" s="546"/>
      <c r="E32" s="140"/>
      <c r="F32" s="140"/>
      <c r="G32" s="140"/>
    </row>
    <row r="33" spans="1:7" ht="11.25" customHeight="1">
      <c r="A33" s="544" t="s">
        <v>322</v>
      </c>
      <c r="B33" s="545"/>
      <c r="C33" s="545"/>
      <c r="D33" s="546"/>
      <c r="E33" s="140"/>
      <c r="F33" s="140"/>
      <c r="G33" s="140"/>
    </row>
    <row r="34" spans="1:7" ht="11.25" customHeight="1">
      <c r="A34" s="544" t="s">
        <v>247</v>
      </c>
      <c r="B34" s="545"/>
      <c r="C34" s="545"/>
      <c r="D34" s="546"/>
      <c r="E34" s="140"/>
      <c r="F34" s="140"/>
      <c r="G34" s="140"/>
    </row>
    <row r="35" spans="1:7" ht="11.25" customHeight="1">
      <c r="A35" s="304" t="s">
        <v>248</v>
      </c>
      <c r="B35" s="97"/>
      <c r="C35" s="97"/>
      <c r="D35" s="98"/>
      <c r="E35" s="140"/>
      <c r="F35" s="140"/>
      <c r="G35" s="140"/>
    </row>
    <row r="36" spans="1:7" ht="11.25" customHeight="1">
      <c r="A36" s="544" t="s">
        <v>249</v>
      </c>
      <c r="B36" s="545"/>
      <c r="C36" s="545"/>
      <c r="D36" s="546"/>
      <c r="E36" s="140"/>
      <c r="F36" s="140"/>
      <c r="G36" s="140">
        <v>1024.8</v>
      </c>
    </row>
    <row r="37" spans="1:7" ht="11.25" customHeight="1">
      <c r="A37" s="544" t="s">
        <v>252</v>
      </c>
      <c r="B37" s="545"/>
      <c r="C37" s="545"/>
      <c r="D37" s="546"/>
      <c r="E37" s="140"/>
      <c r="F37" s="140"/>
      <c r="G37" s="140"/>
    </row>
    <row r="38" spans="1:7" ht="11.25" customHeight="1">
      <c r="A38" s="544" t="s">
        <v>316</v>
      </c>
      <c r="B38" s="545"/>
      <c r="C38" s="545"/>
      <c r="D38" s="546"/>
      <c r="E38" s="140"/>
      <c r="F38" s="140"/>
      <c r="G38" s="140"/>
    </row>
    <row r="39" spans="1:7" ht="15">
      <c r="A39" s="559" t="s">
        <v>323</v>
      </c>
      <c r="B39" s="560"/>
      <c r="C39" s="560"/>
      <c r="D39" s="561"/>
      <c r="E39" s="142">
        <f>E10+E26</f>
        <v>892108.8400000001</v>
      </c>
      <c r="F39" s="142">
        <f>F10+F26</f>
        <v>1527169.2999999998</v>
      </c>
      <c r="G39" s="142">
        <f>G10+G26</f>
        <v>1287094.51</v>
      </c>
    </row>
    <row r="40" spans="1:7" ht="11.25" customHeight="1">
      <c r="A40" s="307"/>
      <c r="B40" s="135"/>
      <c r="C40" s="135"/>
      <c r="D40" s="135"/>
      <c r="E40" s="136"/>
      <c r="F40" s="136"/>
      <c r="G40" s="311"/>
    </row>
    <row r="41" spans="1:7" ht="11.25" customHeight="1">
      <c r="A41" s="553" t="s">
        <v>324</v>
      </c>
      <c r="B41" s="554"/>
      <c r="C41" s="554"/>
      <c r="D41" s="555"/>
      <c r="E41" s="532">
        <v>2006</v>
      </c>
      <c r="F41" s="532">
        <v>2007</v>
      </c>
      <c r="G41" s="532">
        <v>2008</v>
      </c>
    </row>
    <row r="42" spans="1:7" s="93" customFormat="1" ht="11.25" customHeight="1">
      <c r="A42" s="556"/>
      <c r="B42" s="557"/>
      <c r="C42" s="557"/>
      <c r="D42" s="558"/>
      <c r="E42" s="533"/>
      <c r="F42" s="533"/>
      <c r="G42" s="533"/>
    </row>
    <row r="43" spans="1:7" s="93" customFormat="1" ht="15">
      <c r="A43" s="304" t="s">
        <v>325</v>
      </c>
      <c r="B43" s="91"/>
      <c r="C43" s="91"/>
      <c r="D43" s="92"/>
      <c r="E43" s="412">
        <f>E44+E47</f>
        <v>592081.49</v>
      </c>
      <c r="F43" s="412">
        <f>F44+F47</f>
        <v>685391.47</v>
      </c>
      <c r="G43" s="412">
        <f>G44+G47</f>
        <v>726705.38</v>
      </c>
    </row>
    <row r="44" spans="1:7" ht="15">
      <c r="A44" s="544" t="s">
        <v>255</v>
      </c>
      <c r="B44" s="545"/>
      <c r="C44" s="545"/>
      <c r="D44" s="546"/>
      <c r="E44" s="141">
        <f>E45+E46</f>
        <v>6132</v>
      </c>
      <c r="F44" s="141">
        <f>F45+F46</f>
        <v>5996</v>
      </c>
      <c r="G44" s="141">
        <f>G45+G46</f>
        <v>8844.96</v>
      </c>
    </row>
    <row r="45" spans="1:7" ht="15">
      <c r="A45" s="544" t="s">
        <v>256</v>
      </c>
      <c r="B45" s="545"/>
      <c r="C45" s="545"/>
      <c r="D45" s="546"/>
      <c r="E45" s="140">
        <v>6132</v>
      </c>
      <c r="F45" s="140">
        <v>5996</v>
      </c>
      <c r="G45" s="140">
        <v>8844.96</v>
      </c>
    </row>
    <row r="46" spans="1:7" ht="11.25" customHeight="1">
      <c r="A46" s="544" t="s">
        <v>257</v>
      </c>
      <c r="B46" s="545"/>
      <c r="C46" s="545"/>
      <c r="D46" s="546"/>
      <c r="E46" s="140"/>
      <c r="F46" s="140"/>
      <c r="G46" s="140"/>
    </row>
    <row r="47" spans="1:7" ht="15">
      <c r="A47" s="544" t="s">
        <v>326</v>
      </c>
      <c r="B47" s="545"/>
      <c r="C47" s="545"/>
      <c r="D47" s="546"/>
      <c r="E47" s="141">
        <f>E48+E49+E50</f>
        <v>585949.49</v>
      </c>
      <c r="F47" s="141">
        <f>F48+F49+F50</f>
        <v>679395.47</v>
      </c>
      <c r="G47" s="141">
        <f>G48+G49+G50</f>
        <v>717860.42</v>
      </c>
    </row>
    <row r="48" spans="1:7" ht="15">
      <c r="A48" s="544" t="s">
        <v>138</v>
      </c>
      <c r="B48" s="545"/>
      <c r="C48" s="545"/>
      <c r="D48" s="546"/>
      <c r="E48" s="140">
        <v>585949.49</v>
      </c>
      <c r="F48" s="140">
        <v>679395.47</v>
      </c>
      <c r="G48" s="140">
        <v>717860.42</v>
      </c>
    </row>
    <row r="49" spans="1:7" ht="11.25" customHeight="1">
      <c r="A49" s="544" t="s">
        <v>258</v>
      </c>
      <c r="B49" s="545"/>
      <c r="C49" s="545"/>
      <c r="D49" s="546"/>
      <c r="E49" s="140"/>
      <c r="F49" s="140"/>
      <c r="G49" s="140"/>
    </row>
    <row r="50" spans="1:7" ht="11.25" customHeight="1">
      <c r="A50" s="544" t="s">
        <v>259</v>
      </c>
      <c r="B50" s="545"/>
      <c r="C50" s="545"/>
      <c r="D50" s="546"/>
      <c r="E50" s="141">
        <f>E51+E52</f>
        <v>0</v>
      </c>
      <c r="F50" s="141">
        <f>F51+F52</f>
        <v>0</v>
      </c>
      <c r="G50" s="141">
        <f>G51+G52</f>
        <v>0</v>
      </c>
    </row>
    <row r="51" spans="1:7" ht="11.25" customHeight="1">
      <c r="A51" s="544" t="s">
        <v>260</v>
      </c>
      <c r="B51" s="545"/>
      <c r="C51" s="545"/>
      <c r="D51" s="546"/>
      <c r="E51" s="140"/>
      <c r="F51" s="140"/>
      <c r="G51" s="140"/>
    </row>
    <row r="52" spans="1:7" ht="11.25" customHeight="1">
      <c r="A52" s="544" t="s">
        <v>261</v>
      </c>
      <c r="B52" s="545"/>
      <c r="C52" s="545"/>
      <c r="D52" s="546"/>
      <c r="E52" s="140"/>
      <c r="F52" s="140"/>
      <c r="G52" s="140"/>
    </row>
    <row r="53" spans="1:7" s="93" customFormat="1" ht="11.25" customHeight="1">
      <c r="A53" s="304" t="s">
        <v>327</v>
      </c>
      <c r="B53" s="91"/>
      <c r="C53" s="91"/>
      <c r="D53" s="92"/>
      <c r="E53" s="144">
        <f>E54</f>
        <v>0</v>
      </c>
      <c r="F53" s="144">
        <f>F54</f>
        <v>0</v>
      </c>
      <c r="G53" s="144">
        <f>G54</f>
        <v>0</v>
      </c>
    </row>
    <row r="54" spans="1:7" ht="11.25" customHeight="1">
      <c r="A54" s="544" t="s">
        <v>255</v>
      </c>
      <c r="B54" s="545"/>
      <c r="C54" s="545"/>
      <c r="D54" s="546"/>
      <c r="E54" s="141">
        <f>E55+E56</f>
        <v>0</v>
      </c>
      <c r="F54" s="141">
        <f>F55+F56</f>
        <v>0</v>
      </c>
      <c r="G54" s="141">
        <f>G55+G56</f>
        <v>0</v>
      </c>
    </row>
    <row r="55" spans="1:7" ht="11.25" customHeight="1">
      <c r="A55" s="544" t="s">
        <v>256</v>
      </c>
      <c r="B55" s="545"/>
      <c r="C55" s="545"/>
      <c r="D55" s="546"/>
      <c r="E55" s="140"/>
      <c r="F55" s="140"/>
      <c r="G55" s="140"/>
    </row>
    <row r="56" spans="1:7" ht="11.25" customHeight="1">
      <c r="A56" s="547" t="s">
        <v>257</v>
      </c>
      <c r="B56" s="548"/>
      <c r="C56" s="548"/>
      <c r="D56" s="549"/>
      <c r="E56" s="143"/>
      <c r="F56" s="143"/>
      <c r="G56" s="143"/>
    </row>
    <row r="57" spans="1:7" ht="15">
      <c r="A57" s="534" t="s">
        <v>328</v>
      </c>
      <c r="B57" s="535"/>
      <c r="C57" s="535"/>
      <c r="D57" s="536"/>
      <c r="E57" s="145">
        <f>E43+E53</f>
        <v>592081.49</v>
      </c>
      <c r="F57" s="145">
        <f>F43+F53</f>
        <v>685391.47</v>
      </c>
      <c r="G57" s="145">
        <f>G43+G53</f>
        <v>726705.38</v>
      </c>
    </row>
    <row r="58" spans="1:7" ht="11.25" customHeight="1">
      <c r="A58" s="306"/>
      <c r="B58" s="130"/>
      <c r="C58" s="130"/>
      <c r="D58" s="130"/>
      <c r="E58" s="138"/>
      <c r="F58" s="138"/>
      <c r="G58" s="312"/>
    </row>
    <row r="59" spans="1:7" ht="15">
      <c r="A59" s="550" t="s">
        <v>329</v>
      </c>
      <c r="B59" s="551"/>
      <c r="C59" s="551"/>
      <c r="D59" s="552"/>
      <c r="E59" s="413">
        <f>E39-E57</f>
        <v>300027.3500000001</v>
      </c>
      <c r="F59" s="413">
        <f>F39-F57</f>
        <v>841777.8299999998</v>
      </c>
      <c r="G59" s="413">
        <f>G39-G57</f>
        <v>560389.13</v>
      </c>
    </row>
    <row r="60" spans="1:7" ht="11.25" customHeight="1">
      <c r="A60" s="306"/>
      <c r="B60" s="130"/>
      <c r="C60" s="130"/>
      <c r="D60" s="130"/>
      <c r="E60" s="138"/>
      <c r="F60" s="138"/>
      <c r="G60" s="137"/>
    </row>
    <row r="61" spans="1:7" ht="11.25" customHeight="1">
      <c r="A61" s="538"/>
      <c r="B61" s="539"/>
      <c r="C61" s="539"/>
      <c r="D61" s="540"/>
      <c r="E61" s="532">
        <v>2006</v>
      </c>
      <c r="F61" s="532">
        <v>2007</v>
      </c>
      <c r="G61" s="532">
        <v>2008</v>
      </c>
    </row>
    <row r="62" spans="1:7" ht="11.25" customHeight="1">
      <c r="A62" s="541"/>
      <c r="B62" s="542"/>
      <c r="C62" s="542"/>
      <c r="D62" s="543"/>
      <c r="E62" s="533"/>
      <c r="F62" s="533"/>
      <c r="G62" s="533"/>
    </row>
    <row r="63" spans="1:7" ht="11.25" customHeight="1">
      <c r="A63" s="308" t="s">
        <v>330</v>
      </c>
      <c r="B63" s="135"/>
      <c r="C63" s="135"/>
      <c r="D63" s="139"/>
      <c r="E63" s="141">
        <f>E64+E68</f>
        <v>0</v>
      </c>
      <c r="F63" s="141">
        <f>F64+F68</f>
        <v>0</v>
      </c>
      <c r="G63" s="141">
        <f>G64+G68</f>
        <v>0</v>
      </c>
    </row>
    <row r="64" spans="1:7" ht="11.25" customHeight="1">
      <c r="A64" s="304" t="s">
        <v>331</v>
      </c>
      <c r="B64" s="97"/>
      <c r="C64" s="97"/>
      <c r="D64" s="98"/>
      <c r="E64" s="141">
        <f>E65+E66+E67</f>
        <v>0</v>
      </c>
      <c r="F64" s="141">
        <f>F65+F66+F67</f>
        <v>0</v>
      </c>
      <c r="G64" s="141">
        <f>G65+G66+G67</f>
        <v>0</v>
      </c>
    </row>
    <row r="65" spans="1:7" ht="11.25" customHeight="1">
      <c r="A65" s="304" t="s">
        <v>332</v>
      </c>
      <c r="B65" s="97"/>
      <c r="C65" s="97"/>
      <c r="D65" s="98"/>
      <c r="E65" s="140"/>
      <c r="F65" s="140"/>
      <c r="G65" s="140"/>
    </row>
    <row r="66" spans="1:7" ht="11.25" customHeight="1">
      <c r="A66" s="304" t="s">
        <v>333</v>
      </c>
      <c r="B66" s="97"/>
      <c r="C66" s="97"/>
      <c r="D66" s="98"/>
      <c r="E66" s="140"/>
      <c r="F66" s="140"/>
      <c r="G66" s="140"/>
    </row>
    <row r="67" spans="1:7" ht="11.25" customHeight="1">
      <c r="A67" s="304" t="s">
        <v>334</v>
      </c>
      <c r="B67" s="97"/>
      <c r="C67" s="97"/>
      <c r="D67" s="98"/>
      <c r="E67" s="140"/>
      <c r="F67" s="140"/>
      <c r="G67" s="140"/>
    </row>
    <row r="68" spans="1:7" ht="11.25" customHeight="1">
      <c r="A68" s="304" t="s">
        <v>335</v>
      </c>
      <c r="B68" s="97"/>
      <c r="C68" s="97"/>
      <c r="D68" s="98"/>
      <c r="E68" s="141">
        <f>E69+E70+E71</f>
        <v>0</v>
      </c>
      <c r="F68" s="141">
        <f>F69+F70+F71</f>
        <v>0</v>
      </c>
      <c r="G68" s="141">
        <f>G69+G70+G71</f>
        <v>0</v>
      </c>
    </row>
    <row r="69" spans="1:7" ht="11.25" customHeight="1">
      <c r="A69" s="304" t="s">
        <v>336</v>
      </c>
      <c r="B69" s="97"/>
      <c r="C69" s="97"/>
      <c r="D69" s="98"/>
      <c r="E69" s="140"/>
      <c r="F69" s="140"/>
      <c r="G69" s="140"/>
    </row>
    <row r="70" spans="1:7" ht="11.25" customHeight="1">
      <c r="A70" s="304" t="s">
        <v>337</v>
      </c>
      <c r="B70" s="97"/>
      <c r="C70" s="97"/>
      <c r="D70" s="98"/>
      <c r="E70" s="140"/>
      <c r="F70" s="140"/>
      <c r="G70" s="140"/>
    </row>
    <row r="71" spans="1:7" ht="11.25" customHeight="1">
      <c r="A71" s="309" t="s">
        <v>334</v>
      </c>
      <c r="B71" s="132"/>
      <c r="C71" s="132"/>
      <c r="D71" s="133"/>
      <c r="E71" s="143"/>
      <c r="F71" s="143"/>
      <c r="G71" s="143"/>
    </row>
    <row r="72" spans="1:7" ht="11.25" customHeight="1">
      <c r="A72" s="306"/>
      <c r="B72" s="130"/>
      <c r="C72" s="130"/>
      <c r="D72" s="130"/>
      <c r="E72" s="138"/>
      <c r="F72" s="138"/>
      <c r="G72" s="312"/>
    </row>
    <row r="73" spans="1:7" ht="11.25" customHeight="1">
      <c r="A73" s="310" t="s">
        <v>338</v>
      </c>
      <c r="B73" s="130"/>
      <c r="C73" s="130"/>
      <c r="D73" s="131"/>
      <c r="E73" s="137"/>
      <c r="F73" s="137"/>
      <c r="G73" s="137"/>
    </row>
    <row r="74" spans="1:7" ht="11.25" customHeight="1">
      <c r="A74" s="534" t="s">
        <v>339</v>
      </c>
      <c r="B74" s="535"/>
      <c r="C74" s="535"/>
      <c r="D74" s="536"/>
      <c r="E74" s="137"/>
      <c r="F74" s="137"/>
      <c r="G74" s="137"/>
    </row>
    <row r="75" spans="1:7" ht="11.25" customHeight="1">
      <c r="A75" s="537" t="s">
        <v>348</v>
      </c>
      <c r="B75" s="537"/>
      <c r="C75" s="537"/>
      <c r="D75" s="537"/>
      <c r="E75" s="537"/>
      <c r="F75" s="537"/>
      <c r="G75" s="537"/>
    </row>
  </sheetData>
  <sheetProtection/>
  <mergeCells count="58">
    <mergeCell ref="A1:G1"/>
    <mergeCell ref="A2:G2"/>
    <mergeCell ref="A3:G3"/>
    <mergeCell ref="A4:G4"/>
    <mergeCell ref="A5:G5"/>
    <mergeCell ref="A6:G6"/>
    <mergeCell ref="A7:D7"/>
    <mergeCell ref="A8:D9"/>
    <mergeCell ref="E8:E9"/>
    <mergeCell ref="F8:F9"/>
    <mergeCell ref="G8:G9"/>
    <mergeCell ref="A16:D16"/>
    <mergeCell ref="A17:D17"/>
    <mergeCell ref="A18:D18"/>
    <mergeCell ref="A11:D11"/>
    <mergeCell ref="A12:D12"/>
    <mergeCell ref="A13:D13"/>
    <mergeCell ref="A14:D14"/>
    <mergeCell ref="A31:D31"/>
    <mergeCell ref="A32:D32"/>
    <mergeCell ref="A19:D19"/>
    <mergeCell ref="A20:D20"/>
    <mergeCell ref="A21:D21"/>
    <mergeCell ref="A22:D22"/>
    <mergeCell ref="A24:D24"/>
    <mergeCell ref="A27:D27"/>
    <mergeCell ref="A28:D28"/>
    <mergeCell ref="A30:D30"/>
    <mergeCell ref="A38:D38"/>
    <mergeCell ref="A39:D39"/>
    <mergeCell ref="A33:D33"/>
    <mergeCell ref="A34:D34"/>
    <mergeCell ref="A36:D36"/>
    <mergeCell ref="A37:D37"/>
    <mergeCell ref="F41:F42"/>
    <mergeCell ref="G41:G42"/>
    <mergeCell ref="A44:D44"/>
    <mergeCell ref="A45:D45"/>
    <mergeCell ref="A41:D42"/>
    <mergeCell ref="E41:E42"/>
    <mergeCell ref="A46:D46"/>
    <mergeCell ref="A47:D47"/>
    <mergeCell ref="A48:D48"/>
    <mergeCell ref="A49:D49"/>
    <mergeCell ref="A50:D50"/>
    <mergeCell ref="A51:D51"/>
    <mergeCell ref="A52:D52"/>
    <mergeCell ref="A54:D54"/>
    <mergeCell ref="A55:D55"/>
    <mergeCell ref="A56:D56"/>
    <mergeCell ref="A59:D59"/>
    <mergeCell ref="A57:D57"/>
    <mergeCell ref="F61:F62"/>
    <mergeCell ref="G61:G62"/>
    <mergeCell ref="A74:D74"/>
    <mergeCell ref="A75:G75"/>
    <mergeCell ref="A61:D62"/>
    <mergeCell ref="E61:E6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4" sqref="A4:G4"/>
    </sheetView>
  </sheetViews>
  <sheetFormatPr defaultColWidth="9.140625" defaultRowHeight="11.25" customHeight="1"/>
  <cols>
    <col min="1" max="2" width="12.8515625" style="88" customWidth="1"/>
    <col min="3" max="3" width="15.28125" style="88" customWidth="1"/>
    <col min="4" max="4" width="25.00390625" style="88" customWidth="1"/>
    <col min="5" max="5" width="12.8515625" style="88" customWidth="1"/>
    <col min="6" max="6" width="16.7109375" style="88" customWidth="1"/>
    <col min="7" max="7" width="23.140625" style="88" customWidth="1"/>
    <col min="8" max="8" width="12.8515625" style="88" customWidth="1"/>
    <col min="9" max="16384" width="9.140625" style="88" customWidth="1"/>
  </cols>
  <sheetData>
    <row r="1" spans="1:7" s="93" customFormat="1" ht="15">
      <c r="A1" s="573" t="str">
        <f>Parâmetros!A7</f>
        <v>Município de : J A G U A R I - RS</v>
      </c>
      <c r="B1" s="574"/>
      <c r="C1" s="574"/>
      <c r="D1" s="574"/>
      <c r="E1" s="574"/>
      <c r="F1" s="574"/>
      <c r="G1" s="574"/>
    </row>
    <row r="2" spans="1:8" ht="15">
      <c r="A2" s="575" t="s">
        <v>42</v>
      </c>
      <c r="B2" s="574"/>
      <c r="C2" s="574"/>
      <c r="D2" s="574"/>
      <c r="E2" s="574"/>
      <c r="F2" s="574"/>
      <c r="G2" s="574"/>
      <c r="H2" s="99"/>
    </row>
    <row r="3" spans="1:8" ht="15">
      <c r="A3" s="575" t="s">
        <v>242</v>
      </c>
      <c r="B3" s="574"/>
      <c r="C3" s="574"/>
      <c r="D3" s="574"/>
      <c r="E3" s="574"/>
      <c r="F3" s="574"/>
      <c r="G3" s="574"/>
      <c r="H3" s="99"/>
    </row>
    <row r="4" spans="1:8" ht="15">
      <c r="A4" s="575" t="s">
        <v>262</v>
      </c>
      <c r="B4" s="574"/>
      <c r="C4" s="574"/>
      <c r="D4" s="574"/>
      <c r="E4" s="574"/>
      <c r="F4" s="574"/>
      <c r="G4" s="574"/>
      <c r="H4" s="99"/>
    </row>
    <row r="5" spans="1:8" ht="15">
      <c r="A5" s="575" t="s">
        <v>297</v>
      </c>
      <c r="B5" s="574"/>
      <c r="C5" s="574"/>
      <c r="D5" s="574"/>
      <c r="E5" s="574"/>
      <c r="F5" s="574"/>
      <c r="G5" s="574"/>
      <c r="H5" s="99"/>
    </row>
    <row r="6" spans="1:8" ht="11.25" customHeight="1">
      <c r="A6" s="100"/>
      <c r="B6" s="100"/>
      <c r="C6" s="100"/>
      <c r="D6" s="100"/>
      <c r="E6" s="100"/>
      <c r="F6" s="100"/>
      <c r="G6" s="100"/>
      <c r="H6" s="100"/>
    </row>
    <row r="7" spans="1:7" ht="11.25" customHeight="1">
      <c r="A7" s="94" t="s">
        <v>263</v>
      </c>
      <c r="B7" s="97"/>
      <c r="C7" s="97"/>
      <c r="D7" s="97"/>
      <c r="E7" s="101"/>
      <c r="F7" s="101"/>
      <c r="G7" s="102">
        <v>1</v>
      </c>
    </row>
    <row r="8" spans="1:7" ht="11.25" customHeight="1">
      <c r="A8" s="579" t="s">
        <v>140</v>
      </c>
      <c r="B8" s="582" t="s">
        <v>137</v>
      </c>
      <c r="C8" s="583"/>
      <c r="D8" s="579" t="s">
        <v>139</v>
      </c>
      <c r="E8" s="582" t="s">
        <v>264</v>
      </c>
      <c r="F8" s="583"/>
      <c r="G8" s="317" t="s">
        <v>136</v>
      </c>
    </row>
    <row r="9" spans="1:7" ht="18" customHeight="1">
      <c r="A9" s="580"/>
      <c r="B9" s="584"/>
      <c r="C9" s="585"/>
      <c r="D9" s="580"/>
      <c r="E9" s="584"/>
      <c r="F9" s="585"/>
      <c r="G9" s="103" t="s">
        <v>265</v>
      </c>
    </row>
    <row r="10" spans="1:7" ht="11.25" customHeight="1">
      <c r="A10" s="580"/>
      <c r="B10" s="576" t="s">
        <v>102</v>
      </c>
      <c r="C10" s="577"/>
      <c r="D10" s="314" t="s">
        <v>104</v>
      </c>
      <c r="E10" s="576" t="s">
        <v>266</v>
      </c>
      <c r="F10" s="577"/>
      <c r="G10" s="103" t="s">
        <v>267</v>
      </c>
    </row>
    <row r="11" spans="1:7" ht="11.25" customHeight="1">
      <c r="A11" s="581"/>
      <c r="B11" s="586"/>
      <c r="C11" s="587"/>
      <c r="D11" s="315"/>
      <c r="E11" s="315"/>
      <c r="F11" s="316"/>
      <c r="G11" s="104" t="s">
        <v>268</v>
      </c>
    </row>
    <row r="12" spans="1:7" ht="15">
      <c r="A12" s="414">
        <v>2006</v>
      </c>
      <c r="B12" s="588">
        <v>892108.84</v>
      </c>
      <c r="C12" s="589"/>
      <c r="D12" s="416">
        <v>592081.49</v>
      </c>
      <c r="E12" s="590">
        <f>B12-D12</f>
        <v>300027.35</v>
      </c>
      <c r="F12" s="591"/>
      <c r="G12" s="417">
        <v>1476210.73</v>
      </c>
    </row>
    <row r="13" spans="1:7" ht="15">
      <c r="A13" s="414">
        <v>2007</v>
      </c>
      <c r="B13" s="588">
        <v>1527169.3</v>
      </c>
      <c r="C13" s="589"/>
      <c r="D13" s="416">
        <v>685391.47</v>
      </c>
      <c r="E13" s="590">
        <f>B13-D13</f>
        <v>841777.8300000001</v>
      </c>
      <c r="F13" s="591"/>
      <c r="G13" s="417">
        <f>G12+E13</f>
        <v>2317988.56</v>
      </c>
    </row>
    <row r="14" spans="1:7" ht="15">
      <c r="A14" s="414">
        <v>2008</v>
      </c>
      <c r="B14" s="588">
        <v>1287084.51</v>
      </c>
      <c r="C14" s="589"/>
      <c r="D14" s="416">
        <v>726705.38</v>
      </c>
      <c r="E14" s="590">
        <f>B14-D14</f>
        <v>560379.13</v>
      </c>
      <c r="F14" s="591"/>
      <c r="G14" s="417">
        <f>G13+E14</f>
        <v>2878367.69</v>
      </c>
    </row>
    <row r="15" spans="1:7" ht="15">
      <c r="A15" s="414">
        <v>2009</v>
      </c>
      <c r="B15" s="588">
        <v>1500000</v>
      </c>
      <c r="C15" s="589"/>
      <c r="D15" s="416">
        <v>845000</v>
      </c>
      <c r="E15" s="590">
        <f>B15-D15</f>
        <v>655000</v>
      </c>
      <c r="F15" s="591"/>
      <c r="G15" s="417">
        <f>G14+E15</f>
        <v>3533367.69</v>
      </c>
    </row>
    <row r="16" spans="1:7" ht="11.25" customHeight="1">
      <c r="A16" s="415"/>
      <c r="B16" s="588"/>
      <c r="C16" s="589"/>
      <c r="D16" s="416"/>
      <c r="E16" s="590"/>
      <c r="F16" s="591"/>
      <c r="G16" s="417"/>
    </row>
    <row r="17" spans="1:8" ht="11.25" customHeight="1">
      <c r="A17" s="578" t="s">
        <v>349</v>
      </c>
      <c r="B17" s="578"/>
      <c r="C17" s="578"/>
      <c r="D17" s="578"/>
      <c r="E17" s="578"/>
      <c r="F17" s="578"/>
      <c r="G17" s="578"/>
      <c r="H17" s="105"/>
    </row>
  </sheetData>
  <sheetProtection/>
  <mergeCells count="23">
    <mergeCell ref="B16:C16"/>
    <mergeCell ref="E12:F12"/>
    <mergeCell ref="E13:F13"/>
    <mergeCell ref="E14:F14"/>
    <mergeCell ref="E15:F15"/>
    <mergeCell ref="E16:F16"/>
    <mergeCell ref="A17:G17"/>
    <mergeCell ref="A8:A11"/>
    <mergeCell ref="B8:C9"/>
    <mergeCell ref="D8:D9"/>
    <mergeCell ref="E8:F9"/>
    <mergeCell ref="B11:C11"/>
    <mergeCell ref="B12:C12"/>
    <mergeCell ref="B13:C13"/>
    <mergeCell ref="B14:C14"/>
    <mergeCell ref="B15:C15"/>
    <mergeCell ref="A1:G1"/>
    <mergeCell ref="A2:G2"/>
    <mergeCell ref="B10:C10"/>
    <mergeCell ref="E10:F10"/>
    <mergeCell ref="A3:G3"/>
    <mergeCell ref="A4:G4"/>
    <mergeCell ref="A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1:G3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6" width="12.8515625" style="0" customWidth="1"/>
    <col min="7" max="7" width="16.140625" style="0" customWidth="1"/>
  </cols>
  <sheetData>
    <row r="1" spans="1:7" ht="12.75">
      <c r="A1" s="593" t="str">
        <f>Parâmetros!A7</f>
        <v>Município de : J A G U A R I - RS</v>
      </c>
      <c r="B1" s="594"/>
      <c r="C1" s="594"/>
      <c r="D1" s="594"/>
      <c r="E1" s="594"/>
      <c r="F1" s="594"/>
      <c r="G1" s="594"/>
    </row>
    <row r="2" spans="1:7" ht="12.75">
      <c r="A2" s="595" t="s">
        <v>42</v>
      </c>
      <c r="B2" s="596"/>
      <c r="C2" s="596"/>
      <c r="D2" s="596"/>
      <c r="E2" s="596"/>
      <c r="F2" s="596"/>
      <c r="G2" s="596"/>
    </row>
    <row r="3" spans="1:7" ht="12.75">
      <c r="A3" s="595" t="s">
        <v>167</v>
      </c>
      <c r="B3" s="596"/>
      <c r="C3" s="596"/>
      <c r="D3" s="596"/>
      <c r="E3" s="596"/>
      <c r="F3" s="596"/>
      <c r="G3" s="596"/>
    </row>
    <row r="4" spans="1:7" ht="12.75">
      <c r="A4" s="597" t="s">
        <v>175</v>
      </c>
      <c r="B4" s="598"/>
      <c r="C4" s="598"/>
      <c r="D4" s="598"/>
      <c r="E4" s="598"/>
      <c r="F4" s="598"/>
      <c r="G4" s="598"/>
    </row>
    <row r="5" spans="1:7" ht="12.75">
      <c r="A5" s="595" t="s">
        <v>292</v>
      </c>
      <c r="B5" s="596"/>
      <c r="C5" s="596"/>
      <c r="D5" s="596"/>
      <c r="E5" s="596"/>
      <c r="F5" s="596"/>
      <c r="G5" s="596"/>
    </row>
    <row r="6" spans="1:7" ht="12.75">
      <c r="A6" s="323"/>
      <c r="B6" s="324"/>
      <c r="C6" s="324"/>
      <c r="D6" s="324"/>
      <c r="E6" s="324"/>
      <c r="F6" s="324"/>
      <c r="G6" s="324"/>
    </row>
    <row r="7" spans="1:6" ht="12.75">
      <c r="A7" s="473"/>
      <c r="B7" s="471"/>
      <c r="C7" s="471"/>
      <c r="D7" s="471"/>
      <c r="E7" s="471"/>
      <c r="F7" s="472"/>
    </row>
    <row r="8" spans="1:7" s="88" customFormat="1" ht="11.25" customHeight="1">
      <c r="A8" s="407" t="s">
        <v>275</v>
      </c>
      <c r="B8" s="113"/>
      <c r="C8" s="113"/>
      <c r="D8" s="113"/>
      <c r="E8" s="113"/>
      <c r="F8" s="114"/>
      <c r="G8" s="115">
        <v>1</v>
      </c>
    </row>
    <row r="9" spans="1:7" s="93" customFormat="1" ht="12.75">
      <c r="A9" s="579" t="s">
        <v>276</v>
      </c>
      <c r="B9" s="604" t="s">
        <v>277</v>
      </c>
      <c r="C9" s="606" t="s">
        <v>278</v>
      </c>
      <c r="D9" s="604" t="s">
        <v>141</v>
      </c>
      <c r="E9" s="609"/>
      <c r="F9" s="610"/>
      <c r="G9" s="579" t="s">
        <v>142</v>
      </c>
    </row>
    <row r="10" spans="1:7" s="93" customFormat="1" ht="12.75">
      <c r="A10" s="580"/>
      <c r="B10" s="605"/>
      <c r="C10" s="607"/>
      <c r="D10" s="586"/>
      <c r="E10" s="611"/>
      <c r="F10" s="587"/>
      <c r="G10" s="580"/>
    </row>
    <row r="11" spans="1:7" s="88" customFormat="1" ht="12.75">
      <c r="A11" s="581"/>
      <c r="B11" s="586"/>
      <c r="C11" s="608"/>
      <c r="D11" s="116">
        <v>2010</v>
      </c>
      <c r="E11" s="116">
        <v>2011</v>
      </c>
      <c r="F11" s="116">
        <v>2012</v>
      </c>
      <c r="G11" s="581"/>
    </row>
    <row r="12" spans="1:7" s="88" customFormat="1" ht="12.75">
      <c r="A12" s="418" t="s">
        <v>365</v>
      </c>
      <c r="B12" s="418" t="s">
        <v>367</v>
      </c>
      <c r="C12" s="418" t="s">
        <v>366</v>
      </c>
      <c r="D12" s="419">
        <v>80000</v>
      </c>
      <c r="E12" s="419">
        <f>D12*(1+B28)</f>
        <v>83600</v>
      </c>
      <c r="F12" s="419">
        <f>E12*(1+B29)</f>
        <v>87362</v>
      </c>
      <c r="G12" s="599" t="s">
        <v>287</v>
      </c>
    </row>
    <row r="13" spans="1:7" s="88" customFormat="1" ht="12.75">
      <c r="A13" s="418" t="s">
        <v>365</v>
      </c>
      <c r="B13" s="418" t="s">
        <v>368</v>
      </c>
      <c r="C13" s="418" t="s">
        <v>366</v>
      </c>
      <c r="D13" s="419">
        <v>89000</v>
      </c>
      <c r="E13" s="419">
        <f>D13*(1+B28)</f>
        <v>93005</v>
      </c>
      <c r="F13" s="419">
        <f>E13*(1+B29)</f>
        <v>97190.22499999999</v>
      </c>
      <c r="G13" s="600"/>
    </row>
    <row r="14" spans="1:7" s="88" customFormat="1" ht="11.25" customHeight="1">
      <c r="A14" s="313"/>
      <c r="B14" s="117"/>
      <c r="C14" s="117"/>
      <c r="D14" s="118"/>
      <c r="E14" s="118">
        <f>D14*(1+B28)</f>
        <v>0</v>
      </c>
      <c r="F14" s="118">
        <f>E14*(1+B29)</f>
        <v>0</v>
      </c>
      <c r="G14" s="313" t="s">
        <v>288</v>
      </c>
    </row>
    <row r="15" spans="1:7" s="88" customFormat="1" ht="11.25" customHeight="1">
      <c r="A15" s="313"/>
      <c r="B15" s="117"/>
      <c r="C15" s="117"/>
      <c r="D15" s="118"/>
      <c r="E15" s="118">
        <f>D15*(1+B28)</f>
        <v>0</v>
      </c>
      <c r="F15" s="118">
        <f>E15*(1+B29)</f>
        <v>0</v>
      </c>
      <c r="G15" s="313"/>
    </row>
    <row r="16" spans="1:7" s="88" customFormat="1" ht="11.25" customHeight="1">
      <c r="A16" s="313"/>
      <c r="B16" s="117"/>
      <c r="C16" s="117"/>
      <c r="D16" s="118"/>
      <c r="E16" s="118">
        <f>D16*(1+B28)</f>
        <v>0</v>
      </c>
      <c r="F16" s="118">
        <f>E16*(1+B29)</f>
        <v>0</v>
      </c>
      <c r="G16" s="313"/>
    </row>
    <row r="17" spans="1:7" s="88" customFormat="1" ht="11.25" customHeight="1">
      <c r="A17" s="313"/>
      <c r="B17" s="117"/>
      <c r="C17" s="117"/>
      <c r="D17" s="118"/>
      <c r="E17" s="118">
        <f>D17*(1+B28)</f>
        <v>0</v>
      </c>
      <c r="F17" s="118">
        <f>E17*(1+B29)</f>
        <v>0</v>
      </c>
      <c r="G17" s="313"/>
    </row>
    <row r="18" spans="1:7" s="88" customFormat="1" ht="11.25" customHeight="1">
      <c r="A18" s="318"/>
      <c r="B18" s="119"/>
      <c r="C18" s="119"/>
      <c r="D18" s="120"/>
      <c r="E18" s="320">
        <f>D18*(1+B28)</f>
        <v>0</v>
      </c>
      <c r="F18" s="120">
        <f>E18*(1+B29)</f>
        <v>0</v>
      </c>
      <c r="G18" s="318"/>
    </row>
    <row r="19" spans="1:7" s="88" customFormat="1" ht="12.75">
      <c r="A19" s="601" t="s">
        <v>121</v>
      </c>
      <c r="B19" s="602"/>
      <c r="C19" s="603"/>
      <c r="D19" s="120">
        <f>SUM(D12:D18)</f>
        <v>169000</v>
      </c>
      <c r="E19" s="120">
        <f>SUM(E12:E18)</f>
        <v>176605</v>
      </c>
      <c r="F19" s="120">
        <f>SUM(F12:F18)</f>
        <v>184552.22499999998</v>
      </c>
      <c r="G19" s="318" t="s">
        <v>279</v>
      </c>
    </row>
    <row r="20" spans="1:7" s="88" customFormat="1" ht="11.25" customHeight="1">
      <c r="A20" s="592" t="s">
        <v>348</v>
      </c>
      <c r="B20" s="592"/>
      <c r="C20" s="592"/>
      <c r="D20" s="592"/>
      <c r="E20" s="592"/>
      <c r="F20" s="592"/>
      <c r="G20" s="592"/>
    </row>
    <row r="21" spans="1:7" s="88" customFormat="1" ht="11.25" customHeight="1">
      <c r="A21" s="319"/>
      <c r="B21" s="319"/>
      <c r="C21" s="319"/>
      <c r="D21" s="319"/>
      <c r="E21" s="319"/>
      <c r="F21" s="319"/>
      <c r="G21" s="319"/>
    </row>
    <row r="22" spans="1:7" s="88" customFormat="1" ht="11.25" customHeight="1">
      <c r="A22" s="319"/>
      <c r="B22" s="319"/>
      <c r="C22" s="319"/>
      <c r="D22" s="319"/>
      <c r="E22" s="319"/>
      <c r="F22" s="319"/>
      <c r="G22" s="319"/>
    </row>
    <row r="23" spans="1:6" ht="12.75">
      <c r="A23" t="s">
        <v>298</v>
      </c>
      <c r="B23" s="256"/>
      <c r="C23" s="256"/>
      <c r="D23" s="256"/>
      <c r="E23" s="256"/>
      <c r="F23" s="256"/>
    </row>
    <row r="24" ht="12.75">
      <c r="A24" t="s">
        <v>206</v>
      </c>
    </row>
    <row r="26" ht="12.75">
      <c r="A26" s="36" t="s">
        <v>363</v>
      </c>
    </row>
    <row r="27" ht="12.75">
      <c r="A27" s="36" t="s">
        <v>364</v>
      </c>
    </row>
    <row r="28" spans="1:2" ht="12.75">
      <c r="A28" s="134" t="s">
        <v>299</v>
      </c>
      <c r="B28" s="321">
        <f>Parâmetros!F12</f>
        <v>0.045</v>
      </c>
    </row>
    <row r="29" spans="1:2" ht="12.75">
      <c r="A29" s="322" t="s">
        <v>350</v>
      </c>
      <c r="B29" s="321">
        <f>Parâmetros!G12</f>
        <v>0.045</v>
      </c>
    </row>
    <row r="30" ht="12.75">
      <c r="B30" s="84"/>
    </row>
  </sheetData>
  <sheetProtection/>
  <mergeCells count="14">
    <mergeCell ref="A9:A11"/>
    <mergeCell ref="B9:B11"/>
    <mergeCell ref="C9:C11"/>
    <mergeCell ref="D9:F10"/>
    <mergeCell ref="A20:G20"/>
    <mergeCell ref="A1:G1"/>
    <mergeCell ref="A2:G2"/>
    <mergeCell ref="A3:G3"/>
    <mergeCell ref="A4:G4"/>
    <mergeCell ref="A5:G5"/>
    <mergeCell ref="G9:G11"/>
    <mergeCell ref="G12:G13"/>
    <mergeCell ref="A19:C19"/>
    <mergeCell ref="A7:F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C29"/>
  <sheetViews>
    <sheetView zoomScale="90" zoomScaleNormal="90" zoomScalePageLayoutView="0" workbookViewId="0" topLeftCell="A1">
      <selection activeCell="A4" sqref="A4:C4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3" ht="12.75">
      <c r="A1" s="593" t="str">
        <f>Parâmetros!A7</f>
        <v>Município de : J A G U A R I - RS</v>
      </c>
      <c r="B1" s="594"/>
      <c r="C1" s="594"/>
    </row>
    <row r="2" spans="1:3" ht="12.75">
      <c r="A2" s="595" t="s">
        <v>42</v>
      </c>
      <c r="B2" s="596"/>
      <c r="C2" s="596"/>
    </row>
    <row r="3" spans="1:3" ht="12.75">
      <c r="A3" s="595" t="s">
        <v>167</v>
      </c>
      <c r="B3" s="596"/>
      <c r="C3" s="596"/>
    </row>
    <row r="4" spans="1:3" ht="12.75">
      <c r="A4" s="612" t="s">
        <v>203</v>
      </c>
      <c r="B4" s="613"/>
      <c r="C4" s="613"/>
    </row>
    <row r="5" spans="1:3" ht="12.75">
      <c r="A5" s="595" t="s">
        <v>292</v>
      </c>
      <c r="B5" s="596"/>
      <c r="C5" s="596"/>
    </row>
    <row r="6" spans="1:2" ht="12.75">
      <c r="A6" s="473"/>
      <c r="B6" s="472"/>
    </row>
    <row r="7" spans="1:2" ht="12.75">
      <c r="A7" s="408" t="s">
        <v>285</v>
      </c>
      <c r="B7" s="35">
        <v>1</v>
      </c>
    </row>
    <row r="8" spans="1:2" s="27" customFormat="1" ht="25.5" customHeight="1">
      <c r="A8" s="325" t="s">
        <v>143</v>
      </c>
      <c r="B8" s="325" t="s">
        <v>308</v>
      </c>
    </row>
    <row r="9" spans="1:2" ht="15.75">
      <c r="A9" s="326" t="s">
        <v>144</v>
      </c>
      <c r="B9" s="330">
        <f>(B10+B11)</f>
        <v>954533.0202240013</v>
      </c>
    </row>
    <row r="10" spans="1:2" ht="15.75">
      <c r="A10" s="327" t="s">
        <v>199</v>
      </c>
      <c r="B10" s="331">
        <f>((Projeções!F10)*(1+Parâmetros!E13)*(1+Parâmetros!E16))-Projeções!F10</f>
        <v>46170.43200000003</v>
      </c>
    </row>
    <row r="11" spans="1:2" ht="15.75">
      <c r="A11" s="327" t="s">
        <v>200</v>
      </c>
      <c r="B11" s="331">
        <f>((Projeções!F22)*(1+Parâmetros!E13)*(1+Parâmetros!E17))-Projeções!F22</f>
        <v>908362.5882240012</v>
      </c>
    </row>
    <row r="12" spans="1:2" ht="15.75">
      <c r="A12" s="328" t="s">
        <v>213</v>
      </c>
      <c r="B12" s="331">
        <f>((Projeções!F33)*(1+Parâmetros!E13))-Projeções!F33</f>
        <v>-69477.66079999995</v>
      </c>
    </row>
    <row r="13" spans="1:2" ht="15.75">
      <c r="A13" s="329" t="s">
        <v>145</v>
      </c>
      <c r="B13" s="332">
        <f>B9+B12</f>
        <v>885055.3594240013</v>
      </c>
    </row>
    <row r="14" spans="1:2" ht="15.75">
      <c r="A14" s="328" t="s">
        <v>146</v>
      </c>
      <c r="B14" s="333">
        <v>0</v>
      </c>
    </row>
    <row r="15" spans="1:2" ht="15.75">
      <c r="A15" s="328" t="s">
        <v>147</v>
      </c>
      <c r="B15" s="332">
        <f>B13+B14</f>
        <v>885055.3594240013</v>
      </c>
    </row>
    <row r="16" spans="1:2" ht="15.75">
      <c r="A16" s="327" t="s">
        <v>148</v>
      </c>
      <c r="B16" s="331"/>
    </row>
    <row r="17" spans="1:2" ht="15.75">
      <c r="A17" s="329" t="s">
        <v>149</v>
      </c>
      <c r="B17" s="332">
        <f>B18+B19</f>
        <v>194735.64467199985</v>
      </c>
    </row>
    <row r="18" spans="1:2" ht="15.75">
      <c r="A18" s="328" t="s">
        <v>201</v>
      </c>
      <c r="B18" s="331">
        <f>((Projeções!F45)*(1+Parâmetros!E14)*(1+Parâmetros!E18))-Projeções!F45</f>
        <v>124616.4165719999</v>
      </c>
    </row>
    <row r="19" spans="1:2" ht="15.75">
      <c r="A19" s="328" t="s">
        <v>202</v>
      </c>
      <c r="B19" s="331">
        <f>((Projeções!F51)*(1+Parâmetros!E15))-Projeções!F51</f>
        <v>70119.22809999995</v>
      </c>
    </row>
    <row r="20" spans="1:2" ht="15.75">
      <c r="A20" s="329" t="s">
        <v>150</v>
      </c>
      <c r="B20" s="334">
        <f>IF(B15-B16-B17&lt;0,"SEM MARGEM",B15-B16-B17)</f>
        <v>690319.7147520015</v>
      </c>
    </row>
    <row r="21" spans="1:2" ht="12.75">
      <c r="A21" s="614" t="s">
        <v>348</v>
      </c>
      <c r="B21" s="614"/>
    </row>
    <row r="22" ht="12.75">
      <c r="A22" s="22"/>
    </row>
    <row r="23" spans="1:2" ht="12.75">
      <c r="A23" s="73"/>
      <c r="B23" s="73"/>
    </row>
    <row r="24" ht="12.75">
      <c r="A24" s="73"/>
    </row>
    <row r="25" ht="12.75">
      <c r="A25" s="73"/>
    </row>
    <row r="26" ht="12.75">
      <c r="A26" s="73"/>
    </row>
    <row r="27" ht="12.75">
      <c r="A27" s="73"/>
    </row>
    <row r="28" ht="12.75">
      <c r="A28" s="73"/>
    </row>
    <row r="29" ht="12.75">
      <c r="A29" s="73"/>
    </row>
  </sheetData>
  <sheetProtection/>
  <mergeCells count="7">
    <mergeCell ref="A4:C4"/>
    <mergeCell ref="A5:C5"/>
    <mergeCell ref="A21:B21"/>
    <mergeCell ref="A6:B6"/>
    <mergeCell ref="A1:C1"/>
    <mergeCell ref="A2:C2"/>
    <mergeCell ref="A3:C3"/>
  </mergeCells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9"/>
  <dimension ref="A1:D22"/>
  <sheetViews>
    <sheetView view="pageBreakPreview" zoomScale="95" zoomScaleSheetLayoutView="95" zoomScalePageLayoutView="0" workbookViewId="0" topLeftCell="A1">
      <selection activeCell="A13" sqref="A13"/>
    </sheetView>
  </sheetViews>
  <sheetFormatPr defaultColWidth="9.140625" defaultRowHeight="12.75"/>
  <cols>
    <col min="1" max="1" width="38.8515625" style="36" customWidth="1"/>
    <col min="2" max="2" width="15.7109375" style="36" customWidth="1"/>
    <col min="3" max="3" width="36.8515625" style="36" customWidth="1"/>
    <col min="4" max="4" width="15.7109375" style="36" customWidth="1"/>
    <col min="5" max="16384" width="9.140625" style="36" customWidth="1"/>
  </cols>
  <sheetData>
    <row r="1" spans="1:4" ht="15">
      <c r="A1" s="615" t="str">
        <f>Parâmetros!A7</f>
        <v>Município de : J A G U A R I - RS</v>
      </c>
      <c r="B1" s="616"/>
      <c r="C1" s="616"/>
      <c r="D1" s="616"/>
    </row>
    <row r="2" spans="1:4" ht="15">
      <c r="A2" s="616" t="s">
        <v>42</v>
      </c>
      <c r="B2" s="616"/>
      <c r="C2" s="616"/>
      <c r="D2" s="616"/>
    </row>
    <row r="3" spans="1:4" ht="15">
      <c r="A3" s="616" t="s">
        <v>197</v>
      </c>
      <c r="B3" s="616"/>
      <c r="C3" s="616"/>
      <c r="D3" s="616"/>
    </row>
    <row r="4" spans="1:4" ht="21" customHeight="1">
      <c r="A4" s="617" t="s">
        <v>151</v>
      </c>
      <c r="B4" s="617"/>
      <c r="C4" s="617"/>
      <c r="D4" s="617"/>
    </row>
    <row r="5" spans="1:4" ht="15">
      <c r="A5" s="616" t="s">
        <v>292</v>
      </c>
      <c r="B5" s="616"/>
      <c r="C5" s="616"/>
      <c r="D5" s="616"/>
    </row>
    <row r="6" spans="1:4" ht="15">
      <c r="A6" s="338"/>
      <c r="B6" s="338"/>
      <c r="C6" s="338"/>
      <c r="D6" s="338"/>
    </row>
    <row r="7" spans="1:4" ht="12.75">
      <c r="A7" s="620"/>
      <c r="B7" s="620"/>
      <c r="C7" s="620"/>
      <c r="D7" s="620"/>
    </row>
    <row r="8" spans="1:4" ht="12.75">
      <c r="A8" s="123" t="s">
        <v>286</v>
      </c>
      <c r="B8" s="123"/>
      <c r="C8" s="621">
        <v>1</v>
      </c>
      <c r="D8" s="622"/>
    </row>
    <row r="9" spans="1:4" ht="12.75">
      <c r="A9" s="618" t="s">
        <v>152</v>
      </c>
      <c r="B9" s="619"/>
      <c r="C9" s="618" t="s">
        <v>153</v>
      </c>
      <c r="D9" s="619"/>
    </row>
    <row r="10" spans="1:4" ht="12.75">
      <c r="A10" s="262" t="s">
        <v>154</v>
      </c>
      <c r="B10" s="39" t="s">
        <v>95</v>
      </c>
      <c r="C10" s="262" t="s">
        <v>154</v>
      </c>
      <c r="D10" s="39" t="s">
        <v>95</v>
      </c>
    </row>
    <row r="11" spans="1:4" ht="12.75">
      <c r="A11" s="409" t="s">
        <v>360</v>
      </c>
      <c r="B11" s="124"/>
      <c r="C11" s="335"/>
      <c r="D11" s="124"/>
    </row>
    <row r="12" spans="1:4" ht="12.75">
      <c r="A12" s="409" t="s">
        <v>361</v>
      </c>
      <c r="B12" s="124"/>
      <c r="C12" s="335"/>
      <c r="D12" s="124"/>
    </row>
    <row r="13" spans="1:4" ht="12.75">
      <c r="A13" s="409" t="s">
        <v>362</v>
      </c>
      <c r="B13" s="124"/>
      <c r="C13" s="335"/>
      <c r="D13" s="124"/>
    </row>
    <row r="14" spans="1:4" ht="12.75">
      <c r="A14" s="335"/>
      <c r="B14" s="124"/>
      <c r="C14" s="335"/>
      <c r="D14" s="124"/>
    </row>
    <row r="15" spans="1:4" ht="12.75">
      <c r="A15" s="335"/>
      <c r="B15" s="124"/>
      <c r="C15" s="335"/>
      <c r="D15" s="124"/>
    </row>
    <row r="16" spans="1:4" ht="12.75">
      <c r="A16" s="335"/>
      <c r="B16" s="124"/>
      <c r="C16" s="335"/>
      <c r="D16" s="124"/>
    </row>
    <row r="17" spans="1:4" ht="12.75">
      <c r="A17" s="335"/>
      <c r="B17" s="124"/>
      <c r="C17" s="335"/>
      <c r="D17" s="124"/>
    </row>
    <row r="18" spans="1:4" ht="12.75">
      <c r="A18" s="335"/>
      <c r="B18" s="124"/>
      <c r="C18" s="335"/>
      <c r="D18" s="124"/>
    </row>
    <row r="19" spans="1:4" ht="12.75">
      <c r="A19" s="336"/>
      <c r="B19" s="125"/>
      <c r="C19" s="336"/>
      <c r="D19" s="125"/>
    </row>
    <row r="20" spans="1:4" ht="12.75">
      <c r="A20" s="337" t="s">
        <v>121</v>
      </c>
      <c r="B20" s="126">
        <f>SUM(B11:B19)</f>
        <v>0</v>
      </c>
      <c r="C20" s="337" t="s">
        <v>121</v>
      </c>
      <c r="D20" s="126">
        <f>SUM(D11:D19)</f>
        <v>0</v>
      </c>
    </row>
    <row r="21" spans="1:4" ht="12.75">
      <c r="A21" s="127" t="s">
        <v>348</v>
      </c>
      <c r="B21" s="128"/>
      <c r="C21" s="128"/>
      <c r="D21" s="128"/>
    </row>
    <row r="22" spans="1:4" ht="12.75">
      <c r="A22" s="127"/>
      <c r="B22" s="128"/>
      <c r="C22" s="128"/>
      <c r="D22" s="128"/>
    </row>
  </sheetData>
  <sheetProtection/>
  <mergeCells count="9">
    <mergeCell ref="A1:D1"/>
    <mergeCell ref="A2:D2"/>
    <mergeCell ref="A3:D3"/>
    <mergeCell ref="A4:D4"/>
    <mergeCell ref="A9:B9"/>
    <mergeCell ref="C9:D9"/>
    <mergeCell ref="A5:D5"/>
    <mergeCell ref="A7:D7"/>
    <mergeCell ref="C8:D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/>
  <dimension ref="A1:G45"/>
  <sheetViews>
    <sheetView showGridLines="0" zoomScale="75" zoomScaleNormal="75" workbookViewId="0" topLeftCell="A1">
      <selection activeCell="H10" sqref="H10"/>
    </sheetView>
  </sheetViews>
  <sheetFormatPr defaultColWidth="32.00390625" defaultRowHeight="12.75"/>
  <cols>
    <col min="1" max="1" width="36.57421875" style="79" customWidth="1"/>
    <col min="2" max="2" width="18.140625" style="80" customWidth="1"/>
    <col min="3" max="3" width="16.8515625" style="83" bestFit="1" customWidth="1"/>
    <col min="4" max="5" width="17.7109375" style="79" bestFit="1" customWidth="1"/>
    <col min="6" max="6" width="16.140625" style="79" customWidth="1"/>
    <col min="7" max="7" width="17.00390625" style="79" customWidth="1"/>
    <col min="8" max="15" width="13.7109375" style="79" customWidth="1"/>
    <col min="16" max="16384" width="32.00390625" style="79" customWidth="1"/>
  </cols>
  <sheetData>
    <row r="1" spans="1:7" ht="15.75">
      <c r="A1" s="424" t="str">
        <f>Parâmetros!A7</f>
        <v>Município de : J A G U A R I - RS</v>
      </c>
      <c r="B1" s="425"/>
      <c r="C1" s="425"/>
      <c r="D1" s="425"/>
      <c r="E1" s="425"/>
      <c r="F1" s="425"/>
      <c r="G1" s="425"/>
    </row>
    <row r="2" spans="1:7" ht="15.75">
      <c r="A2" s="426" t="s">
        <v>300</v>
      </c>
      <c r="B2" s="425"/>
      <c r="C2" s="425"/>
      <c r="D2" s="425"/>
      <c r="E2" s="425"/>
      <c r="F2" s="425"/>
      <c r="G2" s="425"/>
    </row>
    <row r="3" spans="1:7" ht="15.75">
      <c r="A3" s="427" t="s">
        <v>212</v>
      </c>
      <c r="B3" s="428"/>
      <c r="C3" s="428"/>
      <c r="D3" s="428"/>
      <c r="E3" s="428"/>
      <c r="F3" s="428"/>
      <c r="G3" s="428"/>
    </row>
    <row r="4" spans="1:3" ht="12.75" thickBot="1">
      <c r="A4" s="81"/>
      <c r="C4" s="78"/>
    </row>
    <row r="5" spans="1:7" s="164" customFormat="1" ht="16.5" thickTop="1">
      <c r="A5" s="429" t="s">
        <v>211</v>
      </c>
      <c r="B5" s="219">
        <v>2007</v>
      </c>
      <c r="C5" s="204">
        <v>2008</v>
      </c>
      <c r="D5" s="204">
        <v>2009</v>
      </c>
      <c r="E5" s="204">
        <v>2010</v>
      </c>
      <c r="F5" s="204">
        <v>2011</v>
      </c>
      <c r="G5" s="204">
        <v>2012</v>
      </c>
    </row>
    <row r="6" spans="1:7" s="164" customFormat="1" ht="12.75" customHeight="1">
      <c r="A6" s="430"/>
      <c r="B6" s="220" t="s">
        <v>184</v>
      </c>
      <c r="C6" s="221" t="s">
        <v>184</v>
      </c>
      <c r="D6" s="221" t="s">
        <v>185</v>
      </c>
      <c r="E6" s="221" t="s">
        <v>17</v>
      </c>
      <c r="F6" s="221" t="s">
        <v>17</v>
      </c>
      <c r="G6" s="221" t="s">
        <v>17</v>
      </c>
    </row>
    <row r="7" spans="1:7" s="164" customFormat="1" ht="22.5" customHeight="1">
      <c r="A7" s="210" t="s">
        <v>269</v>
      </c>
      <c r="B7" s="212">
        <v>746356.96</v>
      </c>
      <c r="C7" s="212">
        <v>2019616.8</v>
      </c>
      <c r="D7" s="212">
        <v>2115283.06</v>
      </c>
      <c r="E7" s="213">
        <f>D7+Projeções!G27-Projeções!G49-Projeções!G61</f>
        <v>1889462.77</v>
      </c>
      <c r="F7" s="213">
        <f>E7+Projeções!H27-Projeções!H49-Projeções!H61</f>
        <v>1640902.376797</v>
      </c>
      <c r="G7" s="213">
        <f>F7+Projeções!I27-Projeções!I49-Projeções!I61</f>
        <v>1367510.8003130201</v>
      </c>
    </row>
    <row r="8" spans="1:7" s="164" customFormat="1" ht="15">
      <c r="A8" s="193" t="s">
        <v>345</v>
      </c>
      <c r="B8" s="214">
        <v>733734.44</v>
      </c>
      <c r="C8" s="214">
        <v>843767.74</v>
      </c>
      <c r="D8" s="214">
        <v>194725.02</v>
      </c>
      <c r="E8" s="215">
        <f>(B8+C8+D8)/3</f>
        <v>590742.4</v>
      </c>
      <c r="F8" s="215">
        <f>(C8+D8+E8)/3</f>
        <v>543078.3866666667</v>
      </c>
      <c r="G8" s="215">
        <f>(D8+E8+F8)/3</f>
        <v>442848.6022222222</v>
      </c>
    </row>
    <row r="9" spans="1:7" s="164" customFormat="1" ht="22.5" customHeight="1">
      <c r="A9" s="192" t="s">
        <v>270</v>
      </c>
      <c r="B9" s="215">
        <f>IF(B7-B8&lt;0,0,B7-B8)</f>
        <v>12622.520000000019</v>
      </c>
      <c r="C9" s="215">
        <f>IF(C7-C8&lt;0,0,C7-C8)</f>
        <v>1175849.06</v>
      </c>
      <c r="D9" s="215">
        <f>IF(D7-D8&lt;0,0,D7-D8)</f>
        <v>1920558.04</v>
      </c>
      <c r="E9" s="215">
        <f>E7-E8</f>
        <v>1298720.37</v>
      </c>
      <c r="F9" s="215">
        <f>F7-F8</f>
        <v>1097823.9901303332</v>
      </c>
      <c r="G9" s="215">
        <f>G7-G8</f>
        <v>924662.198090798</v>
      </c>
    </row>
    <row r="10" spans="1:7" s="164" customFormat="1" ht="22.5" customHeight="1">
      <c r="A10" s="192" t="s">
        <v>271</v>
      </c>
      <c r="B10" s="216">
        <v>0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</row>
    <row r="11" spans="1:7" s="164" customFormat="1" ht="22.5" customHeight="1">
      <c r="A11" s="192" t="s">
        <v>272</v>
      </c>
      <c r="B11" s="216">
        <f aca="true" t="shared" si="0" ref="B11:G11">B9-B10</f>
        <v>12622.520000000019</v>
      </c>
      <c r="C11" s="216">
        <f t="shared" si="0"/>
        <v>1175849.06</v>
      </c>
      <c r="D11" s="216">
        <f t="shared" si="0"/>
        <v>1920558.04</v>
      </c>
      <c r="E11" s="216">
        <f t="shared" si="0"/>
        <v>1298720.37</v>
      </c>
      <c r="F11" s="216">
        <f t="shared" si="0"/>
        <v>1097823.9901303332</v>
      </c>
      <c r="G11" s="216">
        <f t="shared" si="0"/>
        <v>924662.198090798</v>
      </c>
    </row>
    <row r="12" spans="1:7" s="165" customFormat="1" ht="21.75" customHeight="1" thickBot="1">
      <c r="A12" s="211" t="s">
        <v>273</v>
      </c>
      <c r="B12" s="217">
        <v>259496</v>
      </c>
      <c r="C12" s="218">
        <f>C11-B11</f>
        <v>1163226.54</v>
      </c>
      <c r="D12" s="218">
        <f>D11-C11</f>
        <v>744708.98</v>
      </c>
      <c r="E12" s="218">
        <f>E11-D11</f>
        <v>-621837.6699999999</v>
      </c>
      <c r="F12" s="218">
        <f>F11-E11</f>
        <v>-200896.37986966688</v>
      </c>
      <c r="G12" s="218">
        <f>G11-F11</f>
        <v>-173161.79203953524</v>
      </c>
    </row>
    <row r="13" spans="1:7" s="165" customFormat="1" ht="21.75" customHeight="1" thickTop="1">
      <c r="A13" s="189"/>
      <c r="B13" s="222"/>
      <c r="C13" s="223"/>
      <c r="D13" s="223"/>
      <c r="E13" s="223"/>
      <c r="F13" s="223"/>
      <c r="G13" s="223"/>
    </row>
    <row r="14" spans="1:7" s="165" customFormat="1" ht="21.75" customHeight="1">
      <c r="A14" s="189"/>
      <c r="B14" s="222"/>
      <c r="C14" s="223"/>
      <c r="D14" s="223"/>
      <c r="E14" s="223"/>
      <c r="F14" s="223"/>
      <c r="G14" s="223"/>
    </row>
    <row r="15" s="167" customFormat="1" ht="15.75">
      <c r="A15" s="166"/>
    </row>
    <row r="16" spans="1:7" s="164" customFormat="1" ht="16.5" thickBot="1">
      <c r="A16" s="53" t="s">
        <v>301</v>
      </c>
      <c r="B16" s="168"/>
      <c r="C16" s="169"/>
      <c r="D16" s="169"/>
      <c r="E16" s="169"/>
      <c r="F16" s="170"/>
      <c r="G16" s="171" t="s">
        <v>11</v>
      </c>
    </row>
    <row r="17" spans="1:7" s="164" customFormat="1" ht="16.5" thickTop="1">
      <c r="A17" s="422" t="s">
        <v>241</v>
      </c>
      <c r="B17" s="195">
        <v>2007</v>
      </c>
      <c r="C17" s="201">
        <v>2008</v>
      </c>
      <c r="D17" s="201">
        <v>2009</v>
      </c>
      <c r="E17" s="201">
        <v>2010</v>
      </c>
      <c r="F17" s="201">
        <v>2011</v>
      </c>
      <c r="G17" s="204">
        <v>2012</v>
      </c>
    </row>
    <row r="18" spans="1:7" s="164" customFormat="1" ht="15.75">
      <c r="A18" s="423"/>
      <c r="B18" s="196" t="s">
        <v>16</v>
      </c>
      <c r="C18" s="202" t="s">
        <v>16</v>
      </c>
      <c r="D18" s="202" t="s">
        <v>185</v>
      </c>
      <c r="E18" s="202" t="s">
        <v>17</v>
      </c>
      <c r="F18" s="202" t="s">
        <v>17</v>
      </c>
      <c r="G18" s="205" t="s">
        <v>17</v>
      </c>
    </row>
    <row r="19" spans="1:7" s="172" customFormat="1" ht="15.75">
      <c r="A19" s="191" t="s">
        <v>302</v>
      </c>
      <c r="B19" s="197">
        <f>Plano!D26</f>
        <v>0</v>
      </c>
      <c r="C19" s="197">
        <f>Plano!E26</f>
        <v>0</v>
      </c>
      <c r="D19" s="197">
        <f>Plano!F26</f>
        <v>0</v>
      </c>
      <c r="E19" s="203">
        <v>0</v>
      </c>
      <c r="F19" s="203">
        <v>0</v>
      </c>
      <c r="G19" s="206">
        <v>0</v>
      </c>
    </row>
    <row r="20" spans="1:7" s="164" customFormat="1" ht="15.75">
      <c r="A20" s="192" t="s">
        <v>303</v>
      </c>
      <c r="B20" s="198">
        <f>Plano!D47</f>
        <v>3340.87</v>
      </c>
      <c r="C20" s="198">
        <f>Plano!E47</f>
        <v>32317.51</v>
      </c>
      <c r="D20" s="198">
        <f>Plano!F47</f>
        <v>50500</v>
      </c>
      <c r="E20" s="198">
        <f>Projeções!G48</f>
        <v>55656.05</v>
      </c>
      <c r="F20" s="198">
        <f>Projeções!H48</f>
        <v>61260.614235</v>
      </c>
      <c r="G20" s="207">
        <f>Projeções!I48</f>
        <v>67380.5495970765</v>
      </c>
    </row>
    <row r="21" spans="1:7" s="164" customFormat="1" ht="15.75">
      <c r="A21" s="192" t="s">
        <v>304</v>
      </c>
      <c r="B21" s="198">
        <f>Plano!D60</f>
        <v>0</v>
      </c>
      <c r="C21" s="198">
        <f>Plano!E60</f>
        <v>141744.08</v>
      </c>
      <c r="D21" s="198">
        <f>Plano!F60</f>
        <v>154400</v>
      </c>
      <c r="E21" s="198">
        <f>Projeções!G61</f>
        <v>170164.24000000002</v>
      </c>
      <c r="F21" s="198">
        <f>Projeções!H61</f>
        <v>187299.77896800003</v>
      </c>
      <c r="G21" s="207">
        <f>Projeções!I61</f>
        <v>206011.02688690324</v>
      </c>
    </row>
    <row r="22" spans="1:7" s="164" customFormat="1" ht="15.75" customHeight="1" hidden="1">
      <c r="A22" s="193" t="s">
        <v>41</v>
      </c>
      <c r="B22" s="199"/>
      <c r="C22" s="199"/>
      <c r="D22" s="199"/>
      <c r="E22" s="199"/>
      <c r="F22" s="199"/>
      <c r="G22" s="208"/>
    </row>
    <row r="23" spans="1:7" s="164" customFormat="1" ht="15.75" thickBot="1">
      <c r="A23" s="194"/>
      <c r="B23" s="200"/>
      <c r="C23" s="200"/>
      <c r="D23" s="200"/>
      <c r="E23" s="200"/>
      <c r="F23" s="200"/>
      <c r="G23" s="209"/>
    </row>
    <row r="24" spans="1:3" ht="12.75" thickTop="1">
      <c r="A24" s="81"/>
      <c r="C24" s="78"/>
    </row>
    <row r="25" spans="1:3" ht="12">
      <c r="A25" s="81"/>
      <c r="C25" s="78"/>
    </row>
    <row r="26" spans="1:3" ht="12">
      <c r="A26" s="81"/>
      <c r="C26" s="78"/>
    </row>
    <row r="27" spans="1:3" ht="12">
      <c r="A27" s="81"/>
      <c r="C27" s="78"/>
    </row>
    <row r="28" spans="1:3" ht="12">
      <c r="A28" s="81"/>
      <c r="C28" s="78"/>
    </row>
    <row r="29" spans="1:3" ht="12">
      <c r="A29" s="81"/>
      <c r="C29" s="78"/>
    </row>
    <row r="30" spans="1:3" ht="12">
      <c r="A30" s="81"/>
      <c r="C30" s="78"/>
    </row>
    <row r="31" spans="1:3" ht="12">
      <c r="A31" s="81"/>
      <c r="C31" s="78"/>
    </row>
    <row r="32" ht="12">
      <c r="A32" s="82"/>
    </row>
    <row r="33" ht="12">
      <c r="A33" s="82"/>
    </row>
    <row r="34" ht="12">
      <c r="A34" s="82"/>
    </row>
    <row r="35" ht="12">
      <c r="A35" s="82"/>
    </row>
    <row r="36" ht="12">
      <c r="A36" s="82"/>
    </row>
    <row r="37" ht="12">
      <c r="A37" s="82"/>
    </row>
    <row r="38" ht="12">
      <c r="A38" s="82"/>
    </row>
    <row r="39" ht="12">
      <c r="A39" s="82"/>
    </row>
    <row r="40" ht="12">
      <c r="A40" s="82"/>
    </row>
    <row r="41" ht="12">
      <c r="A41" s="82"/>
    </row>
    <row r="42" ht="12">
      <c r="A42" s="82"/>
    </row>
    <row r="43" ht="12">
      <c r="A43" s="82"/>
    </row>
    <row r="44" ht="12">
      <c r="A44" s="82"/>
    </row>
    <row r="45" ht="12">
      <c r="A45" s="82"/>
    </row>
  </sheetData>
  <sheetProtection/>
  <mergeCells count="5">
    <mergeCell ref="A17:A18"/>
    <mergeCell ref="A1:G1"/>
    <mergeCell ref="A2:G2"/>
    <mergeCell ref="A3:G3"/>
    <mergeCell ref="A5:A6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K116"/>
  <sheetViews>
    <sheetView tabSelected="1" zoomScale="50" zoomScaleNormal="50" zoomScaleSheetLayoutView="30" workbookViewId="0" topLeftCell="A35">
      <selection activeCell="G52" sqref="G52"/>
    </sheetView>
  </sheetViews>
  <sheetFormatPr defaultColWidth="19.140625" defaultRowHeight="12.75"/>
  <cols>
    <col min="1" max="1" width="29.7109375" style="8" bestFit="1" customWidth="1"/>
    <col min="2" max="2" width="80.140625" style="8" bestFit="1" customWidth="1"/>
    <col min="3" max="4" width="24.421875" style="8" bestFit="1" customWidth="1"/>
    <col min="5" max="5" width="23.8515625" style="8" customWidth="1"/>
    <col min="6" max="6" width="25.00390625" style="8" bestFit="1" customWidth="1"/>
    <col min="7" max="7" width="23.7109375" style="8" customWidth="1"/>
    <col min="8" max="8" width="24.140625" style="8" bestFit="1" customWidth="1"/>
    <col min="9" max="9" width="24.140625" style="8" customWidth="1"/>
    <col min="10" max="10" width="19.140625" style="8" hidden="1" customWidth="1"/>
    <col min="11" max="16384" width="19.140625" style="8" customWidth="1"/>
  </cols>
  <sheetData>
    <row r="1" spans="1:9" s="2" customFormat="1" ht="17.25" customHeight="1">
      <c r="A1" s="431" t="str">
        <f>Parâmetros!A7</f>
        <v>Município de : J A G U A R I - RS</v>
      </c>
      <c r="B1" s="431"/>
      <c r="C1" s="431"/>
      <c r="D1" s="431"/>
      <c r="E1" s="431"/>
      <c r="F1" s="431"/>
      <c r="G1" s="431"/>
      <c r="H1" s="431"/>
      <c r="I1" s="431"/>
    </row>
    <row r="2" spans="1:10" s="2" customFormat="1" ht="30" customHeight="1">
      <c r="A2" s="432" t="s">
        <v>369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0" s="2" customFormat="1" ht="19.5" customHeight="1">
      <c r="A3" s="341"/>
      <c r="B3" s="340"/>
      <c r="C3" s="340"/>
      <c r="D3" s="340"/>
      <c r="E3" s="340"/>
      <c r="F3" s="340"/>
      <c r="G3" s="340"/>
      <c r="H3" s="340"/>
      <c r="I3" s="340"/>
      <c r="J3" s="5"/>
    </row>
    <row r="4" spans="1:10" s="2" customFormat="1" ht="21" hidden="1">
      <c r="A4" s="342"/>
      <c r="B4" s="343"/>
      <c r="C4" s="343"/>
      <c r="D4" s="343"/>
      <c r="E4" s="343"/>
      <c r="F4" s="343"/>
      <c r="G4" s="343"/>
      <c r="H4" s="343"/>
      <c r="I4" s="343"/>
      <c r="J4" s="4"/>
    </row>
    <row r="5" spans="1:10" s="2" customFormat="1" ht="21" thickBot="1">
      <c r="A5" s="344"/>
      <c r="B5" s="345"/>
      <c r="C5" s="345"/>
      <c r="D5" s="345"/>
      <c r="E5" s="345"/>
      <c r="F5" s="345"/>
      <c r="G5" s="345"/>
      <c r="H5" s="345"/>
      <c r="I5" s="346" t="s">
        <v>93</v>
      </c>
      <c r="J5" s="16"/>
    </row>
    <row r="6" spans="1:11" s="1" customFormat="1" ht="21" thickTop="1">
      <c r="A6" s="433" t="s">
        <v>0</v>
      </c>
      <c r="B6" s="348" t="s">
        <v>1</v>
      </c>
      <c r="C6" s="349" t="s">
        <v>15</v>
      </c>
      <c r="D6" s="349" t="s">
        <v>15</v>
      </c>
      <c r="E6" s="349" t="s">
        <v>15</v>
      </c>
      <c r="F6" s="349" t="s">
        <v>186</v>
      </c>
      <c r="G6" s="349" t="s">
        <v>18</v>
      </c>
      <c r="H6" s="349" t="s">
        <v>18</v>
      </c>
      <c r="I6" s="350" t="s">
        <v>18</v>
      </c>
      <c r="J6" s="19" t="s">
        <v>18</v>
      </c>
      <c r="K6" s="173"/>
    </row>
    <row r="7" spans="1:11" s="1" customFormat="1" ht="27.75" customHeight="1">
      <c r="A7" s="434"/>
      <c r="B7" s="352" t="s">
        <v>14</v>
      </c>
      <c r="C7" s="353">
        <v>2006</v>
      </c>
      <c r="D7" s="354">
        <v>2007</v>
      </c>
      <c r="E7" s="354">
        <v>2008</v>
      </c>
      <c r="F7" s="354">
        <v>2009</v>
      </c>
      <c r="G7" s="354">
        <v>2010</v>
      </c>
      <c r="H7" s="354">
        <v>2011</v>
      </c>
      <c r="I7" s="355">
        <v>2012</v>
      </c>
      <c r="J7" s="20">
        <v>2005</v>
      </c>
      <c r="K7" s="173"/>
    </row>
    <row r="8" spans="1:11" s="6" customFormat="1" ht="17.25" customHeight="1">
      <c r="A8" s="434"/>
      <c r="B8" s="356"/>
      <c r="C8" s="357"/>
      <c r="D8" s="358"/>
      <c r="E8" s="358"/>
      <c r="F8" s="358"/>
      <c r="G8" s="358"/>
      <c r="H8" s="358"/>
      <c r="I8" s="359"/>
      <c r="J8" s="21"/>
      <c r="K8" s="174"/>
    </row>
    <row r="9" spans="1:9" s="24" customFormat="1" ht="20.25">
      <c r="A9" s="360" t="s">
        <v>47</v>
      </c>
      <c r="B9" s="361" t="s">
        <v>2</v>
      </c>
      <c r="C9" s="362">
        <f>Plano!C8</f>
        <v>12246972.78</v>
      </c>
      <c r="D9" s="362">
        <f>Plano!D8</f>
        <v>13500167.309999999</v>
      </c>
      <c r="E9" s="362">
        <f>Plano!E8</f>
        <v>14031291.450000001</v>
      </c>
      <c r="F9" s="362">
        <f>Plano!F8</f>
        <v>15459441.52</v>
      </c>
      <c r="G9" s="362">
        <f>G10+G11+G14+G19+G20+G21+G22+G23</f>
        <v>16585732.094051998</v>
      </c>
      <c r="H9" s="362">
        <f>H10+H11+H14+H19+H20+H21+H22+H23</f>
        <v>17938741.700025164</v>
      </c>
      <c r="I9" s="362">
        <f>I10+I11+I14+I19+I20+I21+I22+I23</f>
        <v>19404596.490970157</v>
      </c>
    </row>
    <row r="10" spans="1:9" s="24" customFormat="1" ht="20.25">
      <c r="A10" s="360" t="s">
        <v>48</v>
      </c>
      <c r="B10" s="361" t="s">
        <v>49</v>
      </c>
      <c r="C10" s="362">
        <f>Plano!C9</f>
        <v>771441.17</v>
      </c>
      <c r="D10" s="362">
        <f>Plano!D9</f>
        <v>840801.9</v>
      </c>
      <c r="E10" s="362">
        <f>Plano!E9</f>
        <v>885824.33</v>
      </c>
      <c r="F10" s="362">
        <f>Plano!F9</f>
        <v>916080</v>
      </c>
      <c r="G10" s="362">
        <f>F10*(1+Parâmetros!E12)*(1+Parâmetros!E16)</f>
        <v>966876.6359999999</v>
      </c>
      <c r="H10" s="362">
        <f>G10*(1+Parâmetros!F12)*(1+Parâmetros!F16)</f>
        <v>1020489.9454661999</v>
      </c>
      <c r="I10" s="362">
        <f>H10*(1+Parâmetros!G12)*(1+Parâmetros!G16)</f>
        <v>1077076.1129423007</v>
      </c>
    </row>
    <row r="11" spans="1:9" s="24" customFormat="1" ht="20.25">
      <c r="A11" s="360" t="s">
        <v>50</v>
      </c>
      <c r="B11" s="361" t="s">
        <v>51</v>
      </c>
      <c r="C11" s="362">
        <f>Plano!C10</f>
        <v>307375.42000000004</v>
      </c>
      <c r="D11" s="362">
        <f>Plano!D10</f>
        <v>382303.78</v>
      </c>
      <c r="E11" s="362">
        <f>Plano!E10</f>
        <v>338001.82999999996</v>
      </c>
      <c r="F11" s="362">
        <f>Plano!F10</f>
        <v>470000</v>
      </c>
      <c r="G11" s="362">
        <f>G12+G13</f>
        <v>499823.5</v>
      </c>
      <c r="H11" s="362">
        <f>H12+H13</f>
        <v>531627.254675</v>
      </c>
      <c r="I11" s="362">
        <f>I12+I13</f>
        <v>565549.4129576087</v>
      </c>
    </row>
    <row r="12" spans="1:9" s="24" customFormat="1" ht="20.25">
      <c r="A12" s="364" t="s">
        <v>50</v>
      </c>
      <c r="B12" s="365" t="s">
        <v>214</v>
      </c>
      <c r="C12" s="363">
        <f>Plano!C11</f>
        <v>99981.97</v>
      </c>
      <c r="D12" s="363">
        <f>Plano!D11</f>
        <v>82569.63</v>
      </c>
      <c r="E12" s="363">
        <f>Plano!E11</f>
        <v>73953.78</v>
      </c>
      <c r="F12" s="363">
        <f>Plano!F11</f>
        <v>120000</v>
      </c>
      <c r="G12" s="363">
        <f>F12*(1+Parâmetros!E12)*(1+Parâmetros!E13)</f>
        <v>130415.99999999999</v>
      </c>
      <c r="H12" s="363">
        <f>G12*(1+Parâmetros!F12)*(1+Parâmetros!F13)</f>
        <v>141736.1088</v>
      </c>
      <c r="I12" s="363">
        <f>H12*(1+Parâmetros!G12)*(1+Parâmetros!G13)</f>
        <v>154038.80304384</v>
      </c>
    </row>
    <row r="13" spans="1:9" s="24" customFormat="1" ht="20.25">
      <c r="A13" s="364" t="s">
        <v>215</v>
      </c>
      <c r="B13" s="365" t="s">
        <v>219</v>
      </c>
      <c r="C13" s="363">
        <f>Plano!C12</f>
        <v>207393.45</v>
      </c>
      <c r="D13" s="363">
        <f>Plano!D12</f>
        <v>299734.15</v>
      </c>
      <c r="E13" s="363">
        <f>Plano!E12</f>
        <v>264048.05</v>
      </c>
      <c r="F13" s="363">
        <f>Plano!F12</f>
        <v>350000</v>
      </c>
      <c r="G13" s="363">
        <f>F13*(1+Parâmetros!E12)*(1+Parâmetros!E18)</f>
        <v>369407.5</v>
      </c>
      <c r="H13" s="363">
        <f>G13*(1+Parâmetros!F12)*(1+Parâmetros!F18)</f>
        <v>389891.145875</v>
      </c>
      <c r="I13" s="363">
        <f>H13*(1+Parâmetros!G12)*(1+Parâmetros!G18)</f>
        <v>411510.6099137687</v>
      </c>
    </row>
    <row r="14" spans="1:9" s="24" customFormat="1" ht="20.25">
      <c r="A14" s="360" t="s">
        <v>52</v>
      </c>
      <c r="B14" s="361" t="s">
        <v>3</v>
      </c>
      <c r="C14" s="362">
        <f>Plano!C13</f>
        <v>228378.57</v>
      </c>
      <c r="D14" s="362">
        <f>Plano!D13</f>
        <v>203397.69</v>
      </c>
      <c r="E14" s="362">
        <f>Plano!E13</f>
        <v>319174</v>
      </c>
      <c r="F14" s="362">
        <f>Plano!F13</f>
        <v>399000</v>
      </c>
      <c r="G14" s="362">
        <f>G15+G18</f>
        <v>417749.2</v>
      </c>
      <c r="H14" s="362">
        <f>H15+H18</f>
        <v>437411.05056</v>
      </c>
      <c r="I14" s="362">
        <f>I15+I18</f>
        <v>458032.60464860796</v>
      </c>
    </row>
    <row r="15" spans="1:9" ht="20.25">
      <c r="A15" s="364" t="s">
        <v>53</v>
      </c>
      <c r="B15" s="365" t="s">
        <v>176</v>
      </c>
      <c r="C15" s="363">
        <f>Plano!C14</f>
        <v>228378.57</v>
      </c>
      <c r="D15" s="363">
        <f>Plano!D14</f>
        <v>203397.69</v>
      </c>
      <c r="E15" s="363">
        <f>Plano!E14</f>
        <v>319174</v>
      </c>
      <c r="F15" s="363">
        <f>Plano!F14</f>
        <v>398000</v>
      </c>
      <c r="G15" s="363">
        <f>G16+G17</f>
        <v>416662.4</v>
      </c>
      <c r="H15" s="363">
        <f>H16+H17</f>
        <v>436229.91632</v>
      </c>
      <c r="I15" s="363">
        <f>I16+I17</f>
        <v>456748.94795657595</v>
      </c>
    </row>
    <row r="16" spans="1:9" ht="20.25">
      <c r="A16" s="364" t="s">
        <v>53</v>
      </c>
      <c r="B16" s="365" t="s">
        <v>216</v>
      </c>
      <c r="C16" s="363">
        <f>Plano!C15</f>
        <v>33218.95</v>
      </c>
      <c r="D16" s="363">
        <f>Plano!D15</f>
        <v>6552.21</v>
      </c>
      <c r="E16" s="363">
        <f>Plano!E15</f>
        <v>9582.94</v>
      </c>
      <c r="F16" s="363">
        <f>Plano!F15</f>
        <v>18000</v>
      </c>
      <c r="G16" s="363">
        <f>F16*(1+Parâmetros!E12)*(1+Parâmetros!E13)</f>
        <v>19562.4</v>
      </c>
      <c r="H16" s="363">
        <f>G16*(1+Parâmetros!F12)*(1+Parâmetros!F13)</f>
        <v>21260.41632</v>
      </c>
      <c r="I16" s="363">
        <f>H16*(1+Parâmetros!G12)*(1+Parâmetros!G13)</f>
        <v>23105.820456576</v>
      </c>
    </row>
    <row r="17" spans="1:9" ht="20.25">
      <c r="A17" s="364" t="s">
        <v>53</v>
      </c>
      <c r="B17" s="365" t="s">
        <v>220</v>
      </c>
      <c r="C17" s="363">
        <f>Plano!C16</f>
        <v>195159.62</v>
      </c>
      <c r="D17" s="363">
        <f>Plano!D16</f>
        <v>196845.48</v>
      </c>
      <c r="E17" s="363">
        <f>Plano!E16</f>
        <v>309591.06</v>
      </c>
      <c r="F17" s="363">
        <f>Plano!F16</f>
        <v>380000</v>
      </c>
      <c r="G17" s="363">
        <f>F17*(1+Parâmetros!E12)</f>
        <v>397100</v>
      </c>
      <c r="H17" s="363">
        <f>G17*(1+Parâmetros!F12)</f>
        <v>414969.5</v>
      </c>
      <c r="I17" s="363">
        <f>H17*(1+Parâmetros!G12)</f>
        <v>433643.12749999994</v>
      </c>
    </row>
    <row r="18" spans="1:9" ht="20.25">
      <c r="A18" s="364" t="s">
        <v>54</v>
      </c>
      <c r="B18" s="365" t="s">
        <v>55</v>
      </c>
      <c r="C18" s="362">
        <f>Plano!C17</f>
        <v>0</v>
      </c>
      <c r="D18" s="362">
        <f>Plano!D17</f>
        <v>0</v>
      </c>
      <c r="E18" s="362">
        <f>Plano!E17</f>
        <v>0</v>
      </c>
      <c r="F18" s="363">
        <f>Plano!F17</f>
        <v>1000</v>
      </c>
      <c r="G18" s="363">
        <f>F18*(1+Parâmetros!E12)*(1+Parâmetros!E13)</f>
        <v>1086.8</v>
      </c>
      <c r="H18" s="363">
        <f>G18*(1+Parâmetros!F12)*(1+Parâmetros!F13)</f>
        <v>1181.1342399999999</v>
      </c>
      <c r="I18" s="363">
        <f>H18*(1+Parâmetros!G12)*(1+Parâmetros!G13)</f>
        <v>1283.656692032</v>
      </c>
    </row>
    <row r="19" spans="1:9" ht="20.25">
      <c r="A19" s="360" t="s">
        <v>56</v>
      </c>
      <c r="B19" s="361" t="s">
        <v>57</v>
      </c>
      <c r="C19" s="362">
        <f>Plano!C18</f>
        <v>0</v>
      </c>
      <c r="D19" s="362">
        <f>Plano!D18</f>
        <v>0</v>
      </c>
      <c r="E19" s="362">
        <f>Plano!E18</f>
        <v>0</v>
      </c>
      <c r="F19" s="362">
        <f>Plano!F18</f>
        <v>0</v>
      </c>
      <c r="G19" s="363">
        <f>F19*(1+Parâmetros!E12)*(1+Parâmetros!E13)</f>
        <v>0</v>
      </c>
      <c r="H19" s="363">
        <f>G19*(1+Parâmetros!F12)*(1+Parâmetros!F13)</f>
        <v>0</v>
      </c>
      <c r="I19" s="363">
        <f>H19*(1+Parâmetros!G12)*(1+Parâmetros!G13)</f>
        <v>0</v>
      </c>
    </row>
    <row r="20" spans="1:9" ht="20.25">
      <c r="A20" s="360" t="s">
        <v>58</v>
      </c>
      <c r="B20" s="361" t="s">
        <v>4</v>
      </c>
      <c r="C20" s="362">
        <f>Plano!C19</f>
        <v>0</v>
      </c>
      <c r="D20" s="362">
        <f>Plano!D19</f>
        <v>0</v>
      </c>
      <c r="E20" s="362">
        <f>Plano!E19</f>
        <v>0</v>
      </c>
      <c r="F20" s="362">
        <f>Plano!F19</f>
        <v>0</v>
      </c>
      <c r="G20" s="363">
        <f>F20*(1+Parâmetros!E12)*(1+Parâmetros!E13)</f>
        <v>0</v>
      </c>
      <c r="H20" s="363">
        <f>G20*(1+Parâmetros!F12)*(1+Parâmetros!F13)</f>
        <v>0</v>
      </c>
      <c r="I20" s="363">
        <f>H20*(1+Parâmetros!G12)*(1+Parâmetros!G13)</f>
        <v>0</v>
      </c>
    </row>
    <row r="21" spans="1:9" ht="20.25">
      <c r="A21" s="360" t="s">
        <v>59</v>
      </c>
      <c r="B21" s="361" t="s">
        <v>60</v>
      </c>
      <c r="C21" s="362">
        <f>Plano!C20</f>
        <v>106985.52</v>
      </c>
      <c r="D21" s="362">
        <f>Plano!D20</f>
        <v>555992.23</v>
      </c>
      <c r="E21" s="362">
        <f>Plano!E20</f>
        <v>75482.15</v>
      </c>
      <c r="F21" s="362">
        <f>Plano!F20</f>
        <v>75000</v>
      </c>
      <c r="G21" s="362">
        <f>F21*(1+Parâmetros!E12)</f>
        <v>78375</v>
      </c>
      <c r="H21" s="362">
        <f>G21*(1+Parâmetros!F12)</f>
        <v>81901.875</v>
      </c>
      <c r="I21" s="362">
        <f>H21*(1+Parâmetros!G12)</f>
        <v>85587.45937499999</v>
      </c>
    </row>
    <row r="22" spans="1:9" s="24" customFormat="1" ht="20.25">
      <c r="A22" s="360" t="s">
        <v>61</v>
      </c>
      <c r="B22" s="361" t="s">
        <v>62</v>
      </c>
      <c r="C22" s="362">
        <f>Plano!C21</f>
        <v>10613104.2</v>
      </c>
      <c r="D22" s="362">
        <f>Plano!D21</f>
        <v>11015852.53</v>
      </c>
      <c r="E22" s="362">
        <f>Plano!E21</f>
        <v>12058923.91</v>
      </c>
      <c r="F22" s="362">
        <f>Plano!F21</f>
        <v>12757901.52</v>
      </c>
      <c r="G22" s="362">
        <f>F22*(1+Parâmetros!E12)*(1+Parâmetros!E17)</f>
        <v>13731967.301051999</v>
      </c>
      <c r="H22" s="362">
        <f>G22*(1+Parâmetros!F12)*(1+Parâmetros!F17)</f>
        <v>14923902.062783312</v>
      </c>
      <c r="I22" s="362">
        <f>H22*(1+Parâmetros!G12)*(1+Parâmetros!G17)</f>
        <v>16219296.761832904</v>
      </c>
    </row>
    <row r="23" spans="1:9" s="24" customFormat="1" ht="20.25">
      <c r="A23" s="360" t="s">
        <v>63</v>
      </c>
      <c r="B23" s="361" t="s">
        <v>5</v>
      </c>
      <c r="C23" s="362">
        <f>Plano!C22</f>
        <v>219687.9</v>
      </c>
      <c r="D23" s="362">
        <f>Plano!D22</f>
        <v>501819.18</v>
      </c>
      <c r="E23" s="362">
        <f>Plano!E22</f>
        <v>353885.23</v>
      </c>
      <c r="F23" s="362">
        <f>Plano!F22</f>
        <v>841460</v>
      </c>
      <c r="G23" s="362">
        <f>G24+G25</f>
        <v>890940.4569999999</v>
      </c>
      <c r="H23" s="362">
        <f>H24+H25</f>
        <v>943409.5115406499</v>
      </c>
      <c r="I23" s="362">
        <f>I24+I25</f>
        <v>999054.1392137388</v>
      </c>
    </row>
    <row r="24" spans="1:9" s="24" customFormat="1" ht="20.25">
      <c r="A24" s="364" t="s">
        <v>63</v>
      </c>
      <c r="B24" s="365" t="s">
        <v>217</v>
      </c>
      <c r="C24" s="363">
        <f>Plano!C23</f>
        <v>215665.79</v>
      </c>
      <c r="D24" s="363">
        <f>Plano!D23</f>
        <v>498192.99</v>
      </c>
      <c r="E24" s="363">
        <f>Plano!E23</f>
        <v>250933.83</v>
      </c>
      <c r="F24" s="363">
        <f>Plano!F23</f>
        <v>751460</v>
      </c>
      <c r="G24" s="363">
        <f>F24*(1+Parâmetros!E12)*(1+Parâmetros!E16)</f>
        <v>793128.4569999999</v>
      </c>
      <c r="H24" s="363">
        <f>G24*(1+Parâmetros!F12)*(1+Parâmetros!F16)</f>
        <v>837107.4299406499</v>
      </c>
      <c r="I24" s="363">
        <f>H24*(1+Parâmetros!G12)*(1+Parâmetros!G16)</f>
        <v>883525.0369308589</v>
      </c>
    </row>
    <row r="25" spans="1:9" s="24" customFormat="1" ht="20.25">
      <c r="A25" s="364" t="s">
        <v>63</v>
      </c>
      <c r="B25" s="365" t="s">
        <v>221</v>
      </c>
      <c r="C25" s="363">
        <f>Plano!C24</f>
        <v>4022.11</v>
      </c>
      <c r="D25" s="363">
        <f>Plano!D24</f>
        <v>3626.19</v>
      </c>
      <c r="E25" s="363">
        <f>Plano!E24</f>
        <v>102951.4</v>
      </c>
      <c r="F25" s="363">
        <f>Plano!F24</f>
        <v>90000</v>
      </c>
      <c r="G25" s="363">
        <f>F25*(1+Parâmetros!E12)*(1+Parâmetros!E13)</f>
        <v>97812</v>
      </c>
      <c r="H25" s="363">
        <f>G25*(1+Parâmetros!F12)*(1+Parâmetros!F13)</f>
        <v>106302.08159999999</v>
      </c>
      <c r="I25" s="363">
        <f>H25*(1+Parâmetros!G12)*(1+Parâmetros!G13)</f>
        <v>115529.10228287998</v>
      </c>
    </row>
    <row r="26" spans="1:9" s="24" customFormat="1" ht="20.25">
      <c r="A26" s="360" t="s">
        <v>64</v>
      </c>
      <c r="B26" s="361" t="s">
        <v>65</v>
      </c>
      <c r="C26" s="362">
        <f>Plano!C25</f>
        <v>235370.17</v>
      </c>
      <c r="D26" s="362">
        <f>Plano!D25</f>
        <v>156979.41</v>
      </c>
      <c r="E26" s="362">
        <f>Plano!E25</f>
        <v>188395</v>
      </c>
      <c r="F26" s="362">
        <f>Plano!F25</f>
        <v>97500</v>
      </c>
      <c r="G26" s="362">
        <f>G27+G28+G29+G30+G31</f>
        <v>101887.5</v>
      </c>
      <c r="H26" s="362">
        <f>H27+H28+H29+H30+H31</f>
        <v>106472.4375</v>
      </c>
      <c r="I26" s="362">
        <f>I27+I28+I29+I30+I31</f>
        <v>111263.69718749999</v>
      </c>
    </row>
    <row r="27" spans="1:9" s="24" customFormat="1" ht="20.25">
      <c r="A27" s="360" t="s">
        <v>66</v>
      </c>
      <c r="B27" s="361" t="s">
        <v>67</v>
      </c>
      <c r="C27" s="362">
        <f>Plano!C26</f>
        <v>0</v>
      </c>
      <c r="D27" s="362">
        <f>Plano!D26</f>
        <v>0</v>
      </c>
      <c r="E27" s="362">
        <f>Plano!E26</f>
        <v>0</v>
      </c>
      <c r="F27" s="362">
        <f>Plano!F26</f>
        <v>0</v>
      </c>
      <c r="G27" s="363">
        <f>Dívida!E19</f>
        <v>0</v>
      </c>
      <c r="H27" s="363">
        <f>Dívida!F19</f>
        <v>0</v>
      </c>
      <c r="I27" s="363">
        <f>Dívida!G19</f>
        <v>0</v>
      </c>
    </row>
    <row r="28" spans="1:9" s="24" customFormat="1" ht="20.25">
      <c r="A28" s="360" t="s">
        <v>68</v>
      </c>
      <c r="B28" s="361" t="s">
        <v>69</v>
      </c>
      <c r="C28" s="362">
        <f>Plano!C27</f>
        <v>71500</v>
      </c>
      <c r="D28" s="362">
        <f>Plano!D27</f>
        <v>0</v>
      </c>
      <c r="E28" s="362">
        <f>Plano!E27</f>
        <v>0</v>
      </c>
      <c r="F28" s="362">
        <f>Plano!F27</f>
        <v>0</v>
      </c>
      <c r="G28" s="363">
        <f>F28*(1+Parâmetros!E12)*(1+Parâmetros!E13)</f>
        <v>0</v>
      </c>
      <c r="H28" s="363">
        <f>G28*(1+Parâmetros!F12)*(1+Parâmetros!F13)</f>
        <v>0</v>
      </c>
      <c r="I28" s="363">
        <f>H28*(1+Parâmetros!G12)*(1+Parâmetros!G13)</f>
        <v>0</v>
      </c>
    </row>
    <row r="29" spans="1:9" ht="20.25">
      <c r="A29" s="360" t="s">
        <v>70</v>
      </c>
      <c r="B29" s="361" t="s">
        <v>71</v>
      </c>
      <c r="C29" s="362">
        <f>Plano!C28</f>
        <v>0</v>
      </c>
      <c r="D29" s="362">
        <f>Plano!D28</f>
        <v>0</v>
      </c>
      <c r="E29" s="362">
        <f>Plano!E28</f>
        <v>0</v>
      </c>
      <c r="F29" s="362">
        <f>Plano!F28</f>
        <v>0</v>
      </c>
      <c r="G29" s="363">
        <f>F29*(1+Parâmetros!E12)*(1+Parâmetros!E13)</f>
        <v>0</v>
      </c>
      <c r="H29" s="363">
        <f>G29*(1+Parâmetros!F12)*(1+Parâmetros!F13)</f>
        <v>0</v>
      </c>
      <c r="I29" s="363">
        <f>H29*(1+Parâmetros!G12)*(1+Parâmetros!G13)</f>
        <v>0</v>
      </c>
    </row>
    <row r="30" spans="1:9" s="24" customFormat="1" ht="20.25">
      <c r="A30" s="360" t="s">
        <v>72</v>
      </c>
      <c r="B30" s="361" t="s">
        <v>73</v>
      </c>
      <c r="C30" s="362">
        <f>Plano!C29</f>
        <v>163870.17</v>
      </c>
      <c r="D30" s="362">
        <f>Plano!D29</f>
        <v>112850</v>
      </c>
      <c r="E30" s="362">
        <f>Plano!E29</f>
        <v>188395</v>
      </c>
      <c r="F30" s="362">
        <f>Plano!F29</f>
        <v>97500</v>
      </c>
      <c r="G30" s="362">
        <f>F30*(1+Parâmetros!E12)</f>
        <v>101887.5</v>
      </c>
      <c r="H30" s="362">
        <f>G30*(1+Parâmetros!F12)</f>
        <v>106472.4375</v>
      </c>
      <c r="I30" s="362">
        <f>H30*(1+Parâmetros!G12)</f>
        <v>111263.69718749999</v>
      </c>
    </row>
    <row r="31" spans="1:9" ht="20.25">
      <c r="A31" s="360" t="s">
        <v>74</v>
      </c>
      <c r="B31" s="361" t="s">
        <v>6</v>
      </c>
      <c r="C31" s="362">
        <f>Plano!C30</f>
        <v>0</v>
      </c>
      <c r="D31" s="362">
        <f>Plano!D30</f>
        <v>44129.41</v>
      </c>
      <c r="E31" s="362">
        <f>Plano!E30</f>
        <v>0</v>
      </c>
      <c r="F31" s="362">
        <f>Plano!F30</f>
        <v>0</v>
      </c>
      <c r="G31" s="363">
        <f>F31*(1+Parâmetros!E12)*(1+Parâmetros!E13)</f>
        <v>0</v>
      </c>
      <c r="H31" s="363">
        <f>G31*(1+Parâmetros!F12)*(1+Parâmetros!F13)</f>
        <v>0</v>
      </c>
      <c r="I31" s="363">
        <f>H31*(1+Parâmetros!G12)*(1+Parâmetros!G13)</f>
        <v>0</v>
      </c>
    </row>
    <row r="32" spans="1:9" ht="20.25">
      <c r="A32" s="364" t="s">
        <v>218</v>
      </c>
      <c r="B32" s="361" t="s">
        <v>354</v>
      </c>
      <c r="C32" s="362">
        <f>Plano!C31</f>
        <v>0</v>
      </c>
      <c r="D32" s="362">
        <f>Plano!D31</f>
        <v>843806.1</v>
      </c>
      <c r="E32" s="362">
        <f>Plano!E31</f>
        <v>610494</v>
      </c>
      <c r="F32" s="362">
        <f>Plano!F31</f>
        <v>530000</v>
      </c>
      <c r="G32" s="362">
        <f>F32*(1+Parâmetros!E12)*(1+Parâmetros!E18)</f>
        <v>559388.5</v>
      </c>
      <c r="H32" s="362">
        <f>G32*(1+Parâmetros!F12)*(1+Parâmetros!F18)</f>
        <v>590406.592325</v>
      </c>
      <c r="I32" s="362">
        <f>H32*(1+Parâmetros!G12)*(1+Parâmetros!G18)</f>
        <v>623144.6378694212</v>
      </c>
    </row>
    <row r="33" spans="1:9" ht="20.25">
      <c r="A33" s="360" t="s">
        <v>177</v>
      </c>
      <c r="B33" s="361" t="s">
        <v>178</v>
      </c>
      <c r="C33" s="375">
        <f>Plano!C32</f>
        <v>-1709852.65</v>
      </c>
      <c r="D33" s="375">
        <f>Plano!D32</f>
        <v>-2240259.25</v>
      </c>
      <c r="E33" s="375">
        <f>Plano!E32</f>
        <v>-1515342.11</v>
      </c>
      <c r="F33" s="375">
        <f>Plano!F32</f>
        <v>-1736941.52</v>
      </c>
      <c r="G33" s="375">
        <v>-2060349</v>
      </c>
      <c r="H33" s="375">
        <f>G33*(1+Parâmetros!F12)*(1+Parâmetros!F13)</f>
        <v>-2239187.2932</v>
      </c>
      <c r="I33" s="375">
        <f>H33*(1+Parâmetros!G12)*(1+Parâmetros!G13)</f>
        <v>-2433548.75024976</v>
      </c>
    </row>
    <row r="34" spans="1:9" ht="20.25">
      <c r="A34" s="376"/>
      <c r="B34" s="377"/>
      <c r="C34" s="378">
        <f>Plano!C33</f>
        <v>0</v>
      </c>
      <c r="D34" s="378">
        <f>Plano!D33</f>
        <v>0</v>
      </c>
      <c r="E34" s="378">
        <f>Plano!E33</f>
        <v>0</v>
      </c>
      <c r="F34" s="378">
        <f>Plano!F33</f>
        <v>0</v>
      </c>
      <c r="G34" s="379"/>
      <c r="H34" s="379"/>
      <c r="I34" s="379"/>
    </row>
    <row r="35" spans="1:9" s="25" customFormat="1" ht="25.5" customHeight="1">
      <c r="A35" s="366"/>
      <c r="B35" s="367" t="s">
        <v>75</v>
      </c>
      <c r="C35" s="362">
        <f>Plano!C34</f>
        <v>10772490.299999999</v>
      </c>
      <c r="D35" s="362">
        <f>Plano!D34</f>
        <v>12260693.569999998</v>
      </c>
      <c r="E35" s="362">
        <f>Plano!E34</f>
        <v>13314838.340000002</v>
      </c>
      <c r="F35" s="362">
        <f>Plano!F34</f>
        <v>14350000</v>
      </c>
      <c r="G35" s="362">
        <f>G9+G26+G32+G33</f>
        <v>15186659.094051998</v>
      </c>
      <c r="H35" s="362">
        <f>H9+H26+H32+H33</f>
        <v>16396433.43665016</v>
      </c>
      <c r="I35" s="362">
        <f>I9+I26+I32+I33</f>
        <v>17705456.075777315</v>
      </c>
    </row>
    <row r="36" spans="1:9" s="25" customFormat="1" ht="25.5" customHeight="1">
      <c r="A36" s="368"/>
      <c r="B36" s="368"/>
      <c r="C36" s="369"/>
      <c r="D36" s="369"/>
      <c r="E36" s="369"/>
      <c r="F36" s="369"/>
      <c r="G36" s="369"/>
      <c r="H36" s="369"/>
      <c r="I36" s="369"/>
    </row>
    <row r="37" spans="1:9" s="25" customFormat="1" ht="25.5" customHeight="1">
      <c r="A37" s="368"/>
      <c r="B37" s="368"/>
      <c r="C37" s="369"/>
      <c r="D37" s="369"/>
      <c r="E37" s="369"/>
      <c r="F37" s="369"/>
      <c r="G37" s="369"/>
      <c r="H37" s="369"/>
      <c r="I37" s="369"/>
    </row>
    <row r="38" spans="1:9" s="25" customFormat="1" ht="25.5" customHeight="1">
      <c r="A38" s="368"/>
      <c r="B38" s="368"/>
      <c r="C38" s="369"/>
      <c r="D38" s="369"/>
      <c r="E38" s="369"/>
      <c r="F38" s="369"/>
      <c r="G38" s="369"/>
      <c r="H38" s="369"/>
      <c r="I38" s="369"/>
    </row>
    <row r="39" spans="1:9" s="25" customFormat="1" ht="25.5" customHeight="1">
      <c r="A39" s="368"/>
      <c r="B39" s="368"/>
      <c r="C39" s="369"/>
      <c r="D39" s="369"/>
      <c r="E39" s="369"/>
      <c r="F39" s="369"/>
      <c r="G39" s="369"/>
      <c r="H39" s="369"/>
      <c r="I39" s="369"/>
    </row>
    <row r="40" spans="1:9" ht="20.25">
      <c r="A40" s="370"/>
      <c r="B40" s="370"/>
      <c r="C40" s="371"/>
      <c r="D40" s="371"/>
      <c r="E40" s="371"/>
      <c r="F40" s="371"/>
      <c r="G40" s="371"/>
      <c r="H40" s="371"/>
      <c r="I40" s="371"/>
    </row>
    <row r="41" spans="1:9" ht="21" thickBot="1">
      <c r="A41" s="370"/>
      <c r="B41" s="370"/>
      <c r="C41" s="371"/>
      <c r="D41" s="371"/>
      <c r="E41" s="371"/>
      <c r="F41" s="371"/>
      <c r="G41" s="371"/>
      <c r="H41" s="371"/>
      <c r="I41" s="371"/>
    </row>
    <row r="42" spans="1:11" s="1" customFormat="1" ht="21" thickTop="1">
      <c r="A42" s="347" t="s">
        <v>0</v>
      </c>
      <c r="B42" s="348" t="s">
        <v>1</v>
      </c>
      <c r="C42" s="349" t="s">
        <v>187</v>
      </c>
      <c r="D42" s="349" t="s">
        <v>187</v>
      </c>
      <c r="E42" s="349" t="s">
        <v>187</v>
      </c>
      <c r="F42" s="349" t="s">
        <v>186</v>
      </c>
      <c r="G42" s="349" t="s">
        <v>18</v>
      </c>
      <c r="H42" s="349" t="s">
        <v>18</v>
      </c>
      <c r="I42" s="350" t="s">
        <v>18</v>
      </c>
      <c r="J42" s="19" t="s">
        <v>18</v>
      </c>
      <c r="K42" s="173"/>
    </row>
    <row r="43" spans="1:11" s="1" customFormat="1" ht="27.75" customHeight="1">
      <c r="A43" s="351"/>
      <c r="B43" s="352" t="s">
        <v>14</v>
      </c>
      <c r="C43" s="353">
        <v>2006</v>
      </c>
      <c r="D43" s="372">
        <v>2007</v>
      </c>
      <c r="E43" s="372">
        <v>2008</v>
      </c>
      <c r="F43" s="372">
        <v>2009</v>
      </c>
      <c r="G43" s="372">
        <v>2010</v>
      </c>
      <c r="H43" s="372">
        <v>2011</v>
      </c>
      <c r="I43" s="373">
        <v>2012</v>
      </c>
      <c r="J43" s="20">
        <v>2005</v>
      </c>
      <c r="K43" s="173"/>
    </row>
    <row r="44" spans="1:9" s="24" customFormat="1" ht="20.25">
      <c r="A44" s="360" t="s">
        <v>76</v>
      </c>
      <c r="B44" s="361" t="s">
        <v>7</v>
      </c>
      <c r="C44" s="362">
        <f>Plano!C43</f>
        <v>9560656.99</v>
      </c>
      <c r="D44" s="362">
        <f>Plano!D43</f>
        <v>10366255.41</v>
      </c>
      <c r="E44" s="362">
        <f>Plano!E43</f>
        <v>12997076.41</v>
      </c>
      <c r="F44" s="362">
        <f>Plano!F43</f>
        <v>13262244.53</v>
      </c>
      <c r="G44" s="362">
        <f>(G45+G48+G51)</f>
        <v>14065427.832532238</v>
      </c>
      <c r="H44" s="362">
        <f>H45+H48+H51</f>
        <v>15064722.09170823</v>
      </c>
      <c r="I44" s="362">
        <f>I45+I48+I51</f>
        <v>16135409.127893362</v>
      </c>
    </row>
    <row r="45" spans="1:9" s="24" customFormat="1" ht="20.25">
      <c r="A45" s="360" t="s">
        <v>77</v>
      </c>
      <c r="B45" s="361" t="s">
        <v>78</v>
      </c>
      <c r="C45" s="362">
        <f>Plano!C44</f>
        <v>5549222.66</v>
      </c>
      <c r="D45" s="362">
        <f>Plano!D44</f>
        <v>6188451.239999999</v>
      </c>
      <c r="E45" s="362">
        <f>Plano!E44</f>
        <v>6015619.46</v>
      </c>
      <c r="F45" s="362">
        <f>Plano!F44</f>
        <v>6199821.72</v>
      </c>
      <c r="G45" s="362">
        <f>G46+G47</f>
        <v>6609037.8527177395</v>
      </c>
      <c r="H45" s="362">
        <f>H46+H47</f>
        <v>7115019.181683956</v>
      </c>
      <c r="I45" s="362">
        <f>I46+I47</f>
        <v>7659737.935214497</v>
      </c>
    </row>
    <row r="46" spans="1:9" s="24" customFormat="1" ht="20.25">
      <c r="A46" s="364" t="s">
        <v>77</v>
      </c>
      <c r="B46" s="365" t="s">
        <v>223</v>
      </c>
      <c r="C46" s="363">
        <f>Plano!C45</f>
        <v>4963273.17</v>
      </c>
      <c r="D46" s="363">
        <f>Plano!D45</f>
        <v>5509055.77</v>
      </c>
      <c r="E46" s="363">
        <f>Plano!E45</f>
        <v>5297613.25</v>
      </c>
      <c r="F46" s="363">
        <f>Plano!F45</f>
        <v>5438571.72</v>
      </c>
      <c r="G46" s="363">
        <f>F46*(1+Parâmetros!E12)*(1+Parâmetros!E14)*(1+Parâmetros!E18)</f>
        <v>5797541.927092739</v>
      </c>
      <c r="H46" s="363">
        <f>G46*(1+Parâmetros!F12)*(1+Parâmetros!F14)*(1+Parâmetros!F18)</f>
        <v>6241395.939489031</v>
      </c>
      <c r="I46" s="363">
        <f>H46*(1+Parâmetros!G12)*(1+Parâmetros!G14)*(1+Parâmetros!G18)</f>
        <v>6719230.971220371</v>
      </c>
    </row>
    <row r="47" spans="1:9" s="24" customFormat="1" ht="20.25">
      <c r="A47" s="364" t="s">
        <v>77</v>
      </c>
      <c r="B47" s="365" t="s">
        <v>224</v>
      </c>
      <c r="C47" s="363">
        <f>Plano!C46</f>
        <v>585949.49</v>
      </c>
      <c r="D47" s="363">
        <f>Plano!D46</f>
        <v>679395.47</v>
      </c>
      <c r="E47" s="363">
        <f>Plano!E46</f>
        <v>718006.21</v>
      </c>
      <c r="F47" s="363">
        <f>Plano!F46</f>
        <v>761250</v>
      </c>
      <c r="G47" s="363">
        <f>F47*(1+Parâmetros!E12)*(1+Parâmetros!E14)*(1+Parâmetros!E18)</f>
        <v>811495.925625</v>
      </c>
      <c r="H47" s="363">
        <f>G47*(1+Parâmetros!F12)*(1+Parâmetros!F14)*(1+Parâmetros!F18)</f>
        <v>873623.2421949244</v>
      </c>
      <c r="I47" s="363">
        <f>H47*(1+Parâmetros!G12)*(1+Parâmetros!G14)*(1+Parâmetros!G18)</f>
        <v>940506.9639941255</v>
      </c>
    </row>
    <row r="48" spans="1:9" ht="20.25">
      <c r="A48" s="360" t="s">
        <v>79</v>
      </c>
      <c r="B48" s="361" t="s">
        <v>188</v>
      </c>
      <c r="C48" s="362">
        <f>Plano!C47</f>
        <v>1553.33</v>
      </c>
      <c r="D48" s="362">
        <f>Plano!D47</f>
        <v>3340.87</v>
      </c>
      <c r="E48" s="362">
        <f>Plano!E47</f>
        <v>32317.51</v>
      </c>
      <c r="F48" s="362">
        <f>Plano!F47</f>
        <v>50500</v>
      </c>
      <c r="G48" s="362">
        <f>G49+G50</f>
        <v>55656.05</v>
      </c>
      <c r="H48" s="362">
        <f>H49+H50</f>
        <v>61260.614235</v>
      </c>
      <c r="I48" s="362">
        <f>I49+I50</f>
        <v>67380.5495970765</v>
      </c>
    </row>
    <row r="49" spans="1:9" ht="20.25">
      <c r="A49" s="364" t="s">
        <v>79</v>
      </c>
      <c r="B49" s="365" t="s">
        <v>80</v>
      </c>
      <c r="C49" s="363">
        <f>Plano!C48</f>
        <v>1553.33</v>
      </c>
      <c r="D49" s="363">
        <f>Plano!D48</f>
        <v>3340.87</v>
      </c>
      <c r="E49" s="363">
        <f>Plano!E48</f>
        <v>32317.51</v>
      </c>
      <c r="F49" s="363">
        <f>Plano!F48</f>
        <v>50500</v>
      </c>
      <c r="G49" s="363">
        <f>F49*(1+Parâmetros!E20)</f>
        <v>55656.05</v>
      </c>
      <c r="H49" s="363">
        <f>G49*(1+Parâmetros!F20)</f>
        <v>61260.614235</v>
      </c>
      <c r="I49" s="363">
        <f>H49*(1+Parâmetros!G20)</f>
        <v>67380.5495970765</v>
      </c>
    </row>
    <row r="50" spans="1:9" ht="20.25">
      <c r="A50" s="364" t="s">
        <v>79</v>
      </c>
      <c r="B50" s="365" t="s">
        <v>227</v>
      </c>
      <c r="C50" s="363">
        <f>Plano!C49</f>
        <v>0</v>
      </c>
      <c r="D50" s="363">
        <f>Plano!D49</f>
        <v>0</v>
      </c>
      <c r="E50" s="363">
        <f>Plano!E49</f>
        <v>0</v>
      </c>
      <c r="F50" s="363">
        <f>Plano!F49</f>
        <v>0</v>
      </c>
      <c r="G50" s="363">
        <f>F50*(1+Parâmetros!E20)</f>
        <v>0</v>
      </c>
      <c r="H50" s="363">
        <f>G50*(1+Parâmetros!F20)</f>
        <v>0</v>
      </c>
      <c r="I50" s="363">
        <f>H50*(1+Parâmetros!G20)</f>
        <v>0</v>
      </c>
    </row>
    <row r="51" spans="1:9" s="24" customFormat="1" ht="20.25">
      <c r="A51" s="360" t="s">
        <v>81</v>
      </c>
      <c r="B51" s="361" t="s">
        <v>82</v>
      </c>
      <c r="C51" s="362">
        <f>Plano!C50</f>
        <v>4009881</v>
      </c>
      <c r="D51" s="362">
        <f>Plano!D50</f>
        <v>4174463.3</v>
      </c>
      <c r="E51" s="362">
        <f>Plano!E50</f>
        <v>6949139.44</v>
      </c>
      <c r="F51" s="362">
        <f>Plano!F50</f>
        <v>7011922.81</v>
      </c>
      <c r="G51" s="362">
        <f>G52+G53</f>
        <v>7400733.929814499</v>
      </c>
      <c r="H51" s="362">
        <f>H52+H53</f>
        <v>7888442.295789274</v>
      </c>
      <c r="I51" s="362">
        <f>I52+I53</f>
        <v>8408290.643081788</v>
      </c>
    </row>
    <row r="52" spans="1:9" s="24" customFormat="1" ht="20.25">
      <c r="A52" s="364" t="s">
        <v>81</v>
      </c>
      <c r="B52" s="365" t="s">
        <v>225</v>
      </c>
      <c r="C52" s="363">
        <f>Plano!C51</f>
        <v>4003749</v>
      </c>
      <c r="D52" s="363">
        <f>Plano!D51</f>
        <v>4168467.3</v>
      </c>
      <c r="E52" s="363">
        <f>Plano!E51</f>
        <v>6940440.2700000005</v>
      </c>
      <c r="F52" s="363">
        <f>Plano!F51</f>
        <v>7000422.81</v>
      </c>
      <c r="G52" s="363">
        <f>F52*(1+Parâmetros!E12)*(1+Parâmetros!E15)</f>
        <v>7388596.254814499</v>
      </c>
      <c r="H52" s="363">
        <f>G52*(1+Parâmetros!F12)*(1+Parâmetros!F15)</f>
        <v>7875504.748006774</v>
      </c>
      <c r="I52" s="363">
        <f>H52*(1+Parâmetros!G12)*(1+Parâmetros!G15)</f>
        <v>8394500.510900421</v>
      </c>
    </row>
    <row r="53" spans="1:9" s="24" customFormat="1" ht="20.25">
      <c r="A53" s="364" t="s">
        <v>81</v>
      </c>
      <c r="B53" s="365" t="s">
        <v>226</v>
      </c>
      <c r="C53" s="363">
        <f>Plano!C52</f>
        <v>6132</v>
      </c>
      <c r="D53" s="363">
        <f>Plano!D52</f>
        <v>5996</v>
      </c>
      <c r="E53" s="363">
        <f>Plano!E52</f>
        <v>8699.17</v>
      </c>
      <c r="F53" s="363">
        <f>Plano!F52</f>
        <v>11500</v>
      </c>
      <c r="G53" s="363">
        <f>F53*(1+Parâmetros!E12)*(1+Parâmetros!E15)</f>
        <v>12137.675</v>
      </c>
      <c r="H53" s="363">
        <f>G53*(1+Parâmetros!F12)*(1+Parâmetros!F15)</f>
        <v>12937.547782499998</v>
      </c>
      <c r="I53" s="363">
        <f>H53*(1+Parâmetros!G12)*(1+Parâmetros!G15)</f>
        <v>13790.132181366745</v>
      </c>
    </row>
    <row r="54" spans="1:9" s="24" customFormat="1" ht="20.25">
      <c r="A54" s="360" t="s">
        <v>83</v>
      </c>
      <c r="B54" s="361" t="s">
        <v>8</v>
      </c>
      <c r="C54" s="362">
        <f>Plano!C53</f>
        <v>1002854.03</v>
      </c>
      <c r="D54" s="362">
        <f>Plano!D53</f>
        <v>286081.3</v>
      </c>
      <c r="E54" s="362">
        <f>Plano!E53</f>
        <v>1173642.36</v>
      </c>
      <c r="F54" s="362">
        <f>Plano!F53</f>
        <v>431935.47</v>
      </c>
      <c r="G54" s="362">
        <f>G55+G58+G61</f>
        <v>466616.297473</v>
      </c>
      <c r="H54" s="362">
        <f>H55+H58+H61</f>
        <v>506726.66282906354</v>
      </c>
      <c r="I54" s="362">
        <f>I55+I58+I61</f>
        <v>550196.4389149989</v>
      </c>
    </row>
    <row r="55" spans="1:9" s="24" customFormat="1" ht="20.25">
      <c r="A55" s="360" t="s">
        <v>84</v>
      </c>
      <c r="B55" s="361" t="s">
        <v>9</v>
      </c>
      <c r="C55" s="362">
        <f>Plano!C54</f>
        <v>897214.84</v>
      </c>
      <c r="D55" s="362">
        <f>Plano!D54</f>
        <v>282921.95</v>
      </c>
      <c r="E55" s="362">
        <f>Plano!E54</f>
        <v>1031568.86</v>
      </c>
      <c r="F55" s="362">
        <f>Plano!F54</f>
        <v>247535.47</v>
      </c>
      <c r="G55" s="362">
        <f>G56+G57</f>
        <v>263848.05747299996</v>
      </c>
      <c r="H55" s="362">
        <f>H56+H57</f>
        <v>283992.8566610635</v>
      </c>
      <c r="I55" s="362">
        <f>I56+I57</f>
        <v>305675.7112671357</v>
      </c>
    </row>
    <row r="56" spans="1:9" s="24" customFormat="1" ht="20.25">
      <c r="A56" s="364" t="s">
        <v>84</v>
      </c>
      <c r="B56" s="365" t="s">
        <v>341</v>
      </c>
      <c r="C56" s="363">
        <f>Plano!C55</f>
        <v>897214.84</v>
      </c>
      <c r="D56" s="363">
        <f>Plano!D55</f>
        <v>282921.95</v>
      </c>
      <c r="E56" s="363">
        <f>Plano!E55</f>
        <v>1031568.86</v>
      </c>
      <c r="F56" s="363">
        <f>Plano!F55</f>
        <v>247535.47</v>
      </c>
      <c r="G56" s="363">
        <f>F56*(1+Parâmetros!E12)*(1+Parâmetros!E19)</f>
        <v>263848.05747299996</v>
      </c>
      <c r="H56" s="363">
        <f>G56*(1+Parâmetros!F12)*(1+Parâmetros!F19)</f>
        <v>283992.8566610635</v>
      </c>
      <c r="I56" s="363">
        <f>H56*(1+Parâmetros!G12)*(1+Parâmetros!G19)</f>
        <v>305675.7112671357</v>
      </c>
    </row>
    <row r="57" spans="1:9" s="24" customFormat="1" ht="20.25">
      <c r="A57" s="364" t="s">
        <v>84</v>
      </c>
      <c r="B57" s="365" t="s">
        <v>342</v>
      </c>
      <c r="C57" s="363">
        <f>Plano!C56</f>
        <v>0</v>
      </c>
      <c r="D57" s="363">
        <f>Plano!D56</f>
        <v>0</v>
      </c>
      <c r="E57" s="363">
        <f>Plano!E56</f>
        <v>0</v>
      </c>
      <c r="F57" s="363">
        <f>Plano!F56</f>
        <v>0</v>
      </c>
      <c r="G57" s="363">
        <f>F57*(1+Parâmetros!E12)*(1+Parâmetros!E19)</f>
        <v>0</v>
      </c>
      <c r="H57" s="363">
        <f>G57*(1+Parâmetros!F12)*(1+Parâmetros!F19)</f>
        <v>0</v>
      </c>
      <c r="I57" s="363">
        <f>H57*(1+Parâmetros!G12)*(1+Parâmetros!G19)</f>
        <v>0</v>
      </c>
    </row>
    <row r="58" spans="1:9" s="24" customFormat="1" ht="20.25">
      <c r="A58" s="360" t="s">
        <v>85</v>
      </c>
      <c r="B58" s="361" t="s">
        <v>10</v>
      </c>
      <c r="C58" s="362">
        <f>Plano!C57</f>
        <v>32295.37</v>
      </c>
      <c r="D58" s="362">
        <f>Plano!D57</f>
        <v>3159.35</v>
      </c>
      <c r="E58" s="362">
        <f>Plano!E57</f>
        <v>329.42</v>
      </c>
      <c r="F58" s="362">
        <f>Plano!F57</f>
        <v>30000</v>
      </c>
      <c r="G58" s="362">
        <f>G59+G60</f>
        <v>32603.999999999996</v>
      </c>
      <c r="H58" s="362">
        <f>H59+H60</f>
        <v>35434.0272</v>
      </c>
      <c r="I58" s="362">
        <f>I59+I60</f>
        <v>38509.70076096</v>
      </c>
    </row>
    <row r="59" spans="1:9" ht="20.25">
      <c r="A59" s="360" t="s">
        <v>86</v>
      </c>
      <c r="B59" s="365" t="s">
        <v>87</v>
      </c>
      <c r="C59" s="363">
        <f>Plano!C58</f>
        <v>9500</v>
      </c>
      <c r="D59" s="363">
        <f>Plano!D58</f>
        <v>0</v>
      </c>
      <c r="E59" s="363">
        <f>Plano!E58</f>
        <v>0</v>
      </c>
      <c r="F59" s="363">
        <f>Plano!F58</f>
        <v>0</v>
      </c>
      <c r="G59" s="363">
        <f>F59*(1+Parâmetros!E12)*(1+Parâmetros!E13)</f>
        <v>0</v>
      </c>
      <c r="H59" s="363">
        <f>G59*(1+Parâmetros!F12)*(1+Parâmetros!F13)</f>
        <v>0</v>
      </c>
      <c r="I59" s="363">
        <f>H59*(1+Parâmetros!G12)*(1+Parâmetros!G13)</f>
        <v>0</v>
      </c>
    </row>
    <row r="60" spans="1:9" ht="20.25">
      <c r="A60" s="360" t="s">
        <v>179</v>
      </c>
      <c r="B60" s="365" t="s">
        <v>205</v>
      </c>
      <c r="C60" s="363">
        <f>Plano!C59</f>
        <v>22795.37</v>
      </c>
      <c r="D60" s="363">
        <f>Plano!D59</f>
        <v>3159.35</v>
      </c>
      <c r="E60" s="363">
        <f>Plano!E59</f>
        <v>329.42</v>
      </c>
      <c r="F60" s="363">
        <f>Plano!F59</f>
        <v>30000</v>
      </c>
      <c r="G60" s="363">
        <f>F60*(1+Parâmetros!E12)*(1+Parâmetros!E13)</f>
        <v>32603.999999999996</v>
      </c>
      <c r="H60" s="363">
        <f>G60*(1+Parâmetros!F12)*(1+Parâmetros!F13)</f>
        <v>35434.0272</v>
      </c>
      <c r="I60" s="363">
        <f>H60*(1+Parâmetros!G12)*(1+Parâmetros!G13)</f>
        <v>38509.70076096</v>
      </c>
    </row>
    <row r="61" spans="1:9" s="24" customFormat="1" ht="20.25">
      <c r="A61" s="360" t="s">
        <v>88</v>
      </c>
      <c r="B61" s="361" t="s">
        <v>89</v>
      </c>
      <c r="C61" s="362">
        <f>Plano!C60</f>
        <v>73343.82</v>
      </c>
      <c r="D61" s="362">
        <f>Plano!D60</f>
        <v>0</v>
      </c>
      <c r="E61" s="362">
        <f>Plano!E60</f>
        <v>141744.08</v>
      </c>
      <c r="F61" s="362">
        <f>Plano!F60</f>
        <v>154400</v>
      </c>
      <c r="G61" s="362">
        <f>F61*(1+Parâmetros!E20)</f>
        <v>170164.24000000002</v>
      </c>
      <c r="H61" s="362">
        <f>G61*(1+Parâmetros!F20)</f>
        <v>187299.77896800003</v>
      </c>
      <c r="I61" s="362">
        <f>H61*(1+Parâmetros!G20)</f>
        <v>206011.02688690324</v>
      </c>
    </row>
    <row r="62" spans="1:9" s="24" customFormat="1" ht="20.25">
      <c r="A62" s="360" t="s">
        <v>189</v>
      </c>
      <c r="B62" s="361" t="s">
        <v>190</v>
      </c>
      <c r="C62" s="374"/>
      <c r="D62" s="374"/>
      <c r="E62" s="374"/>
      <c r="F62" s="362">
        <f>Plano!F62</f>
        <v>78570.0000000007</v>
      </c>
      <c r="G62" s="362">
        <f>G35-G44-G54-G63</f>
        <v>54540.56467175996</v>
      </c>
      <c r="H62" s="362">
        <f>H35-H44-H54-H63</f>
        <v>209976.15229029173</v>
      </c>
      <c r="I62" s="362">
        <f>I35-I44-I54-I63</f>
        <v>390320.12757837586</v>
      </c>
    </row>
    <row r="63" spans="1:9" ht="20.25">
      <c r="A63" s="360" t="s">
        <v>228</v>
      </c>
      <c r="B63" s="361" t="s">
        <v>229</v>
      </c>
      <c r="C63" s="374"/>
      <c r="D63" s="374"/>
      <c r="E63" s="374"/>
      <c r="F63" s="362">
        <f>Plano!F63</f>
        <v>577250</v>
      </c>
      <c r="G63" s="362">
        <f>(G13+G17+G25+G32)-(G47+G50+G53+G57)</f>
        <v>600074.3993749999</v>
      </c>
      <c r="H63" s="362">
        <f>(H13+H17+H25+H32)-(H47+H50+H53+H57)</f>
        <v>615008.5298225755</v>
      </c>
      <c r="I63" s="362">
        <f>(I13+I17+I25+I32)-(I47+I50+I53+I57)</f>
        <v>629530.3813905776</v>
      </c>
    </row>
    <row r="64" spans="1:9" s="25" customFormat="1" ht="29.25" customHeight="1" thickBot="1">
      <c r="A64" s="380"/>
      <c r="B64" s="367" t="s">
        <v>90</v>
      </c>
      <c r="C64" s="362">
        <f>Plano!C65</f>
        <v>10563511.02</v>
      </c>
      <c r="D64" s="362">
        <f>Plano!D65</f>
        <v>10652336.71</v>
      </c>
      <c r="E64" s="362">
        <f>Plano!E65</f>
        <v>14170718.77</v>
      </c>
      <c r="F64" s="362">
        <f>Plano!F65</f>
        <v>14350000</v>
      </c>
      <c r="G64" s="362">
        <f>G44+G54+G62+G63</f>
        <v>15186659.094051998</v>
      </c>
      <c r="H64" s="362">
        <f>H44+H54+H62+H63</f>
        <v>16396433.43665016</v>
      </c>
      <c r="I64" s="362">
        <f>I44+I54+I62+I63</f>
        <v>17705456.075777315</v>
      </c>
    </row>
    <row r="65" spans="1:10" s="1" customFormat="1" ht="17.25" customHeight="1" hidden="1">
      <c r="A65" s="57">
        <v>50000002</v>
      </c>
      <c r="B65" s="58" t="s">
        <v>40</v>
      </c>
      <c r="C65" s="59"/>
      <c r="D65" s="60"/>
      <c r="E65" s="60"/>
      <c r="F65" s="60"/>
      <c r="G65" s="60"/>
      <c r="H65" s="60"/>
      <c r="I65" s="60"/>
      <c r="J65" s="10"/>
    </row>
    <row r="66" spans="1:10" s="1" customFormat="1" ht="17.25" customHeight="1" hidden="1">
      <c r="A66" s="61"/>
      <c r="B66" s="62" t="s">
        <v>13</v>
      </c>
      <c r="C66" s="63" t="s">
        <v>15</v>
      </c>
      <c r="D66" s="63" t="e">
        <f>IF(#REF!&gt;0,"REALIZADO","PROJETADO")</f>
        <v>#REF!</v>
      </c>
      <c r="E66" s="63" t="e">
        <f>IF(#REF!&gt;0,"REALIZADO","PROJETADO")</f>
        <v>#REF!</v>
      </c>
      <c r="F66" s="63" t="e">
        <f>IF(#REF!&gt;0,"REALIZADO","PROJETADO")</f>
        <v>#REF!</v>
      </c>
      <c r="G66" s="63" t="s">
        <v>18</v>
      </c>
      <c r="H66" s="63"/>
      <c r="I66" s="63" t="s">
        <v>18</v>
      </c>
      <c r="J66" s="11" t="s">
        <v>18</v>
      </c>
    </row>
    <row r="67" spans="1:10" s="1" customFormat="1" ht="17.25" customHeight="1" hidden="1">
      <c r="A67" s="61"/>
      <c r="B67" s="64" t="s">
        <v>12</v>
      </c>
      <c r="C67" s="56">
        <v>1999</v>
      </c>
      <c r="D67" s="56">
        <v>2000</v>
      </c>
      <c r="E67" s="56">
        <v>2001</v>
      </c>
      <c r="F67" s="56">
        <v>2002</v>
      </c>
      <c r="G67" s="56">
        <v>2003</v>
      </c>
      <c r="H67" s="56"/>
      <c r="I67" s="56">
        <v>2004</v>
      </c>
      <c r="J67" s="9">
        <v>2005</v>
      </c>
    </row>
    <row r="68" spans="1:10" s="1" customFormat="1" ht="17.25" customHeight="1" hidden="1">
      <c r="A68" s="61"/>
      <c r="B68" s="65"/>
      <c r="C68" s="66"/>
      <c r="D68" s="66"/>
      <c r="E68" s="66"/>
      <c r="F68" s="66"/>
      <c r="G68" s="66"/>
      <c r="H68" s="66"/>
      <c r="I68" s="66"/>
      <c r="J68" s="12"/>
    </row>
    <row r="69" spans="1:10" s="1" customFormat="1" ht="16.5" hidden="1" thickBot="1">
      <c r="A69" s="61"/>
      <c r="B69" s="65" t="s">
        <v>20</v>
      </c>
      <c r="C69" s="67" t="e">
        <f>C8-#REF!-C14+C73-#REF!</f>
        <v>#REF!</v>
      </c>
      <c r="D69" s="67" t="e">
        <f>D8-#REF!-D14+D73-#REF!</f>
        <v>#REF!</v>
      </c>
      <c r="E69" s="67" t="e">
        <f>E8-#REF!-E14+E73-#REF!</f>
        <v>#REF!</v>
      </c>
      <c r="F69" s="67" t="e">
        <f>F8-#REF!-F14+F73-#REF!</f>
        <v>#REF!</v>
      </c>
      <c r="G69" s="67" t="e">
        <f>G8-#REF!-G14+G73-#REF!</f>
        <v>#REF!</v>
      </c>
      <c r="H69" s="67"/>
      <c r="I69" s="67" t="e">
        <f>I8-#REF!-I14+I73-#REF!</f>
        <v>#REF!</v>
      </c>
      <c r="J69" s="17" t="e">
        <f>J8-#REF!-J14+J73</f>
        <v>#REF!</v>
      </c>
    </row>
    <row r="70" spans="1:10" s="1" customFormat="1" ht="16.5" hidden="1" thickBot="1">
      <c r="A70" s="61"/>
      <c r="B70" s="65" t="s">
        <v>21</v>
      </c>
      <c r="C70" s="67">
        <f>C9</f>
        <v>12246972.78</v>
      </c>
      <c r="D70" s="67">
        <f>D9</f>
        <v>13500167.309999999</v>
      </c>
      <c r="E70" s="67">
        <f>E9</f>
        <v>14031291.450000001</v>
      </c>
      <c r="F70" s="67">
        <f>F9</f>
        <v>15459441.52</v>
      </c>
      <c r="G70" s="67">
        <f>G9</f>
        <v>16585732.094051998</v>
      </c>
      <c r="H70" s="67"/>
      <c r="I70" s="67">
        <f>I9</f>
        <v>19404596.490970157</v>
      </c>
      <c r="J70" s="17">
        <f>J9</f>
        <v>0</v>
      </c>
    </row>
    <row r="71" spans="1:10" s="1" customFormat="1" ht="16.5" hidden="1" thickBot="1">
      <c r="A71" s="61"/>
      <c r="B71" s="65" t="s">
        <v>22</v>
      </c>
      <c r="C71" s="67" t="e">
        <f>C19+C20+C22+#REF!+#REF!+#REF!+#REF!</f>
        <v>#REF!</v>
      </c>
      <c r="D71" s="67" t="e">
        <f>D19+D20+D22+#REF!+#REF!+#REF!+#REF!</f>
        <v>#REF!</v>
      </c>
      <c r="E71" s="67" t="e">
        <f>E19+E20+E22+#REF!+#REF!+#REF!+#REF!</f>
        <v>#REF!</v>
      </c>
      <c r="F71" s="67" t="e">
        <f>F19+F20+F22+#REF!+#REF!+#REF!+#REF!</f>
        <v>#REF!</v>
      </c>
      <c r="G71" s="67" t="e">
        <f>G19+G20+G22+#REF!+#REF!+#REF!+#REF!</f>
        <v>#REF!</v>
      </c>
      <c r="H71" s="67"/>
      <c r="I71" s="67" t="e">
        <f>I19+I20+I22+#REF!+#REF!+#REF!+#REF!</f>
        <v>#REF!</v>
      </c>
      <c r="J71" s="17" t="e">
        <f>J19+J20+J22+#REF!+#REF!+#REF!+#REF!</f>
        <v>#REF!</v>
      </c>
    </row>
    <row r="72" spans="1:10" s="1" customFormat="1" ht="16.5" hidden="1" thickBot="1">
      <c r="A72" s="61"/>
      <c r="B72" s="65" t="s">
        <v>23</v>
      </c>
      <c r="C72" s="67" t="e">
        <f>#REF!</f>
        <v>#REF!</v>
      </c>
      <c r="D72" s="67" t="e">
        <f>#REF!</f>
        <v>#REF!</v>
      </c>
      <c r="E72" s="67" t="e">
        <f>#REF!</f>
        <v>#REF!</v>
      </c>
      <c r="F72" s="67" t="e">
        <f>#REF!</f>
        <v>#REF!</v>
      </c>
      <c r="G72" s="67" t="e">
        <f>#REF!</f>
        <v>#REF!</v>
      </c>
      <c r="H72" s="67"/>
      <c r="I72" s="67" t="e">
        <f>#REF!</f>
        <v>#REF!</v>
      </c>
      <c r="J72" s="17" t="e">
        <f>#REF!</f>
        <v>#REF!</v>
      </c>
    </row>
    <row r="73" spans="1:10" s="1" customFormat="1" ht="16.5" hidden="1" thickBot="1">
      <c r="A73" s="61"/>
      <c r="B73" s="65" t="s">
        <v>24</v>
      </c>
      <c r="C73" s="67" t="e">
        <f>#REF!-#REF!</f>
        <v>#REF!</v>
      </c>
      <c r="D73" s="67" t="e">
        <f>#REF!-#REF!</f>
        <v>#REF!</v>
      </c>
      <c r="E73" s="67" t="e">
        <f>#REF!-#REF!</f>
        <v>#REF!</v>
      </c>
      <c r="F73" s="67" t="e">
        <f>#REF!-#REF!</f>
        <v>#REF!</v>
      </c>
      <c r="G73" s="67" t="e">
        <f>#REF!-#REF!</f>
        <v>#REF!</v>
      </c>
      <c r="H73" s="67"/>
      <c r="I73" s="67" t="e">
        <f>#REF!-#REF!</f>
        <v>#REF!</v>
      </c>
      <c r="J73" s="17" t="e">
        <f>#REF!-#REF!</f>
        <v>#REF!</v>
      </c>
    </row>
    <row r="74" spans="1:10" s="1" customFormat="1" ht="16.5" hidden="1" thickBot="1">
      <c r="A74" s="61"/>
      <c r="B74" s="65" t="s">
        <v>25</v>
      </c>
      <c r="C74" s="67" t="e">
        <f>#REF!</f>
        <v>#REF!</v>
      </c>
      <c r="D74" s="67" t="e">
        <f>#REF!</f>
        <v>#REF!</v>
      </c>
      <c r="E74" s="67" t="e">
        <f>#REF!</f>
        <v>#REF!</v>
      </c>
      <c r="F74" s="67" t="e">
        <f>#REF!</f>
        <v>#REF!</v>
      </c>
      <c r="G74" s="67" t="e">
        <f>#REF!</f>
        <v>#REF!</v>
      </c>
      <c r="H74" s="67"/>
      <c r="I74" s="67" t="e">
        <f>#REF!</f>
        <v>#REF!</v>
      </c>
      <c r="J74" s="17" t="e">
        <f>#REF!</f>
        <v>#REF!</v>
      </c>
    </row>
    <row r="75" spans="1:10" s="1" customFormat="1" ht="16.5" hidden="1" thickBot="1">
      <c r="A75" s="61"/>
      <c r="B75" s="65" t="s">
        <v>26</v>
      </c>
      <c r="C75" s="67" t="e">
        <f>#REF!</f>
        <v>#REF!</v>
      </c>
      <c r="D75" s="67" t="e">
        <f>#REF!</f>
        <v>#REF!</v>
      </c>
      <c r="E75" s="67" t="e">
        <f>#REF!</f>
        <v>#REF!</v>
      </c>
      <c r="F75" s="67" t="e">
        <f>#REF!</f>
        <v>#REF!</v>
      </c>
      <c r="G75" s="67" t="e">
        <f>#REF!</f>
        <v>#REF!</v>
      </c>
      <c r="H75" s="67"/>
      <c r="I75" s="67" t="e">
        <f>#REF!</f>
        <v>#REF!</v>
      </c>
      <c r="J75" s="17" t="e">
        <f>#REF!</f>
        <v>#REF!</v>
      </c>
    </row>
    <row r="76" spans="1:10" s="1" customFormat="1" ht="16.5" hidden="1" thickBot="1">
      <c r="A76" s="61"/>
      <c r="B76" s="65" t="s">
        <v>27</v>
      </c>
      <c r="C76" s="67" t="e">
        <f>#REF!</f>
        <v>#REF!</v>
      </c>
      <c r="D76" s="67" t="e">
        <f>#REF!</f>
        <v>#REF!</v>
      </c>
      <c r="E76" s="67" t="e">
        <f>#REF!</f>
        <v>#REF!</v>
      </c>
      <c r="F76" s="67" t="e">
        <f>#REF!</f>
        <v>#REF!</v>
      </c>
      <c r="G76" s="67" t="e">
        <f>#REF!</f>
        <v>#REF!</v>
      </c>
      <c r="H76" s="67"/>
      <c r="I76" s="67" t="e">
        <f>#REF!</f>
        <v>#REF!</v>
      </c>
      <c r="J76" s="17" t="e">
        <f>#REF!</f>
        <v>#REF!</v>
      </c>
    </row>
    <row r="77" spans="1:10" s="1" customFormat="1" ht="16.5" hidden="1" thickBot="1">
      <c r="A77" s="61"/>
      <c r="B77" s="65" t="s">
        <v>28</v>
      </c>
      <c r="C77" s="67">
        <f>C30</f>
        <v>163870.17</v>
      </c>
      <c r="D77" s="67">
        <f>D30</f>
        <v>112850</v>
      </c>
      <c r="E77" s="67">
        <f>E30</f>
        <v>188395</v>
      </c>
      <c r="F77" s="67">
        <f>F30</f>
        <v>97500</v>
      </c>
      <c r="G77" s="67">
        <f>G30</f>
        <v>101887.5</v>
      </c>
      <c r="H77" s="67"/>
      <c r="I77" s="67">
        <f>I30</f>
        <v>111263.69718749999</v>
      </c>
      <c r="J77" s="17">
        <f>J30</f>
        <v>0</v>
      </c>
    </row>
    <row r="78" spans="1:10" s="1" customFormat="1" ht="16.5" hidden="1" thickBot="1">
      <c r="A78" s="61"/>
      <c r="B78" s="65" t="s">
        <v>29</v>
      </c>
      <c r="C78" s="67" t="e">
        <f>#REF!+#REF!+C59+C60+C61+#REF!+C63+C64+C48+#REF!</f>
        <v>#REF!</v>
      </c>
      <c r="D78" s="67" t="e">
        <f>#REF!+#REF!+D59+D60+D61+#REF!+D63+D64+D48+#REF!</f>
        <v>#REF!</v>
      </c>
      <c r="E78" s="67" t="e">
        <f>#REF!+#REF!+E59+E60+E61+#REF!+E63+E64+E48+#REF!</f>
        <v>#REF!</v>
      </c>
      <c r="F78" s="67" t="e">
        <f>#REF!+#REF!+F59+F60+F61+#REF!+F63+F64+F48+#REF!</f>
        <v>#REF!</v>
      </c>
      <c r="G78" s="67" t="e">
        <f>#REF!+#REF!+G59+G60+G61+#REF!+G63+G64+G48+#REF!</f>
        <v>#REF!</v>
      </c>
      <c r="H78" s="67"/>
      <c r="I78" s="67" t="e">
        <f>#REF!+#REF!+I59+I60+I61+#REF!+I63+I64+I48+#REF!</f>
        <v>#REF!</v>
      </c>
      <c r="J78" s="17" t="e">
        <f>#REF!+#REF!+J59+J60+J61+#REF!+J63+J64</f>
        <v>#REF!</v>
      </c>
    </row>
    <row r="79" spans="1:10" s="1" customFormat="1" ht="16.5" hidden="1" thickBot="1">
      <c r="A79" s="61"/>
      <c r="B79" s="65" t="s">
        <v>30</v>
      </c>
      <c r="C79" s="67" t="e">
        <f>#REF!+#REF!</f>
        <v>#REF!</v>
      </c>
      <c r="D79" s="67" t="e">
        <f>#REF!+#REF!</f>
        <v>#REF!</v>
      </c>
      <c r="E79" s="67" t="e">
        <f>#REF!+#REF!</f>
        <v>#REF!</v>
      </c>
      <c r="F79" s="67" t="e">
        <f>#REF!+#REF!</f>
        <v>#REF!</v>
      </c>
      <c r="G79" s="67" t="e">
        <f>#REF!+#REF!</f>
        <v>#REF!</v>
      </c>
      <c r="H79" s="67"/>
      <c r="I79" s="67" t="e">
        <f>#REF!+#REF!</f>
        <v>#REF!</v>
      </c>
      <c r="J79" s="17" t="e">
        <f>#REF!+#REF!</f>
        <v>#REF!</v>
      </c>
    </row>
    <row r="80" spans="1:10" s="1" customFormat="1" ht="16.5" hidden="1" thickBot="1">
      <c r="A80" s="61"/>
      <c r="B80" s="65" t="s">
        <v>31</v>
      </c>
      <c r="C80" s="67">
        <f>C55+C58</f>
        <v>929510.21</v>
      </c>
      <c r="D80" s="67">
        <f>D55+D58</f>
        <v>286081.3</v>
      </c>
      <c r="E80" s="67">
        <f>E55+E58</f>
        <v>1031898.28</v>
      </c>
      <c r="F80" s="67">
        <f>F55+F58</f>
        <v>277535.47</v>
      </c>
      <c r="G80" s="67">
        <f>G55+G58</f>
        <v>296452.05747299996</v>
      </c>
      <c r="H80" s="67"/>
      <c r="I80" s="67">
        <f>I55+I58</f>
        <v>344185.4120280957</v>
      </c>
      <c r="J80" s="17">
        <f>J55+J58</f>
        <v>0</v>
      </c>
    </row>
    <row r="81" spans="1:10" s="1" customFormat="1" ht="16.5" hidden="1" thickBot="1">
      <c r="A81" s="61"/>
      <c r="B81" s="65" t="s">
        <v>32</v>
      </c>
      <c r="C81" s="67" t="e">
        <f>#REF!</f>
        <v>#REF!</v>
      </c>
      <c r="D81" s="67" t="e">
        <f>#REF!</f>
        <v>#REF!</v>
      </c>
      <c r="E81" s="67" t="e">
        <f>#REF!</f>
        <v>#REF!</v>
      </c>
      <c r="F81" s="67" t="e">
        <f>#REF!</f>
        <v>#REF!</v>
      </c>
      <c r="G81" s="67" t="e">
        <f>#REF!</f>
        <v>#REF!</v>
      </c>
      <c r="H81" s="67"/>
      <c r="I81" s="67" t="e">
        <f>#REF!</f>
        <v>#REF!</v>
      </c>
      <c r="J81" s="17" t="e">
        <f>#REF!</f>
        <v>#REF!</v>
      </c>
    </row>
    <row r="82" spans="1:10" s="1" customFormat="1" ht="16.5" hidden="1" thickBot="1">
      <c r="A82" s="61"/>
      <c r="B82" s="65" t="s">
        <v>33</v>
      </c>
      <c r="C82" s="67" t="e">
        <f>C51+#REF!+#REF!+#REF!+#REF!+#REF!+#REF!</f>
        <v>#REF!</v>
      </c>
      <c r="D82" s="67" t="e">
        <f>D51+#REF!+#REF!+#REF!+#REF!+#REF!+#REF!</f>
        <v>#REF!</v>
      </c>
      <c r="E82" s="67" t="e">
        <f>E51+#REF!+#REF!+#REF!+#REF!+#REF!+#REF!</f>
        <v>#REF!</v>
      </c>
      <c r="F82" s="67" t="e">
        <f>F51+#REF!+#REF!+#REF!+#REF!+#REF!+#REF!</f>
        <v>#REF!</v>
      </c>
      <c r="G82" s="67" t="e">
        <f>G51+#REF!+#REF!+#REF!+#REF!+#REF!+#REF!</f>
        <v>#REF!</v>
      </c>
      <c r="H82" s="67"/>
      <c r="I82" s="67" t="e">
        <f>I51+#REF!+#REF!+#REF!+#REF!+#REF!+#REF!</f>
        <v>#REF!</v>
      </c>
      <c r="J82" s="17" t="e">
        <f>J51+#REF!+#REF!+#REF!+#REF!+#REF!+#REF!</f>
        <v>#REF!</v>
      </c>
    </row>
    <row r="83" spans="1:10" s="1" customFormat="1" ht="16.5" hidden="1" thickBot="1">
      <c r="A83" s="61"/>
      <c r="B83" s="65" t="s">
        <v>39</v>
      </c>
      <c r="C83" s="67" t="e">
        <f>#REF!</f>
        <v>#REF!</v>
      </c>
      <c r="D83" s="67" t="e">
        <f>#REF!</f>
        <v>#REF!</v>
      </c>
      <c r="E83" s="67" t="e">
        <f>#REF!</f>
        <v>#REF!</v>
      </c>
      <c r="F83" s="67" t="e">
        <f>#REF!</f>
        <v>#REF!</v>
      </c>
      <c r="G83" s="67" t="e">
        <f>#REF!</f>
        <v>#REF!</v>
      </c>
      <c r="H83" s="67"/>
      <c r="I83" s="67" t="e">
        <f>#REF!</f>
        <v>#REF!</v>
      </c>
      <c r="J83" s="17" t="e">
        <f>#REF!</f>
        <v>#REF!</v>
      </c>
    </row>
    <row r="84" spans="1:10" s="1" customFormat="1" ht="16.5" hidden="1" thickBot="1">
      <c r="A84" s="61"/>
      <c r="B84" s="65" t="s">
        <v>34</v>
      </c>
      <c r="C84" s="67" t="e">
        <f>#REF!+#REF!</f>
        <v>#REF!</v>
      </c>
      <c r="D84" s="67" t="e">
        <f>#REF!+#REF!</f>
        <v>#REF!</v>
      </c>
      <c r="E84" s="67" t="e">
        <f>#REF!+#REF!</f>
        <v>#REF!</v>
      </c>
      <c r="F84" s="67" t="e">
        <f>#REF!+#REF!</f>
        <v>#REF!</v>
      </c>
      <c r="G84" s="67" t="e">
        <f>#REF!+#REF!</f>
        <v>#REF!</v>
      </c>
      <c r="H84" s="67"/>
      <c r="I84" s="67" t="e">
        <f>#REF!+#REF!</f>
        <v>#REF!</v>
      </c>
      <c r="J84" s="17" t="e">
        <f>#REF!+#REF!</f>
        <v>#REF!</v>
      </c>
    </row>
    <row r="85" spans="1:10" s="1" customFormat="1" ht="16.5" hidden="1" thickBot="1">
      <c r="A85" s="61"/>
      <c r="B85" s="65" t="s">
        <v>35</v>
      </c>
      <c r="C85" s="67" t="e">
        <f>#REF!+#REF!</f>
        <v>#REF!</v>
      </c>
      <c r="D85" s="67" t="e">
        <f>#REF!+#REF!</f>
        <v>#REF!</v>
      </c>
      <c r="E85" s="67" t="e">
        <f>#REF!+#REF!</f>
        <v>#REF!</v>
      </c>
      <c r="F85" s="67" t="e">
        <f>#REF!+#REF!</f>
        <v>#REF!</v>
      </c>
      <c r="G85" s="67" t="e">
        <f>#REF!+#REF!</f>
        <v>#REF!</v>
      </c>
      <c r="H85" s="67"/>
      <c r="I85" s="67" t="e">
        <f>#REF!+#REF!</f>
        <v>#REF!</v>
      </c>
      <c r="J85" s="17" t="e">
        <f>#REF!+#REF!</f>
        <v>#REF!</v>
      </c>
    </row>
    <row r="86" spans="1:10" s="1" customFormat="1" ht="16.5" hidden="1" thickBot="1">
      <c r="A86" s="61"/>
      <c r="B86" s="65" t="s">
        <v>36</v>
      </c>
      <c r="C86" s="67" t="e">
        <f>C84+C85</f>
        <v>#REF!</v>
      </c>
      <c r="D86" s="67" t="e">
        <f aca="true" t="shared" si="0" ref="D86:J86">D84+D85</f>
        <v>#REF!</v>
      </c>
      <c r="E86" s="67" t="e">
        <f t="shared" si="0"/>
        <v>#REF!</v>
      </c>
      <c r="F86" s="67" t="e">
        <f t="shared" si="0"/>
        <v>#REF!</v>
      </c>
      <c r="G86" s="67" t="e">
        <f t="shared" si="0"/>
        <v>#REF!</v>
      </c>
      <c r="H86" s="67"/>
      <c r="I86" s="67" t="e">
        <f t="shared" si="0"/>
        <v>#REF!</v>
      </c>
      <c r="J86" s="17" t="e">
        <f t="shared" si="0"/>
        <v>#REF!</v>
      </c>
    </row>
    <row r="87" spans="1:10" s="1" customFormat="1" ht="16.5" hidden="1" thickBot="1">
      <c r="A87" s="61"/>
      <c r="B87" s="65" t="s">
        <v>37</v>
      </c>
      <c r="C87" s="67" t="e">
        <f>((C8+C28)-(C71)-((#REF!+#REF!)-C86))</f>
        <v>#REF!</v>
      </c>
      <c r="D87" s="67" t="e">
        <f>((D8+D28)-(D71)-((#REF!+#REF!)-D86))</f>
        <v>#REF!</v>
      </c>
      <c r="E87" s="67" t="e">
        <f>((E8+E28)-(E71)-((#REF!+#REF!)-E86))</f>
        <v>#REF!</v>
      </c>
      <c r="F87" s="67" t="e">
        <f>((F8+F28)-(F71)-((#REF!+#REF!)-F86))</f>
        <v>#REF!</v>
      </c>
      <c r="G87" s="67" t="e">
        <f>((G8+G28)-(G71)-((#REF!+#REF!)-G86))</f>
        <v>#REF!</v>
      </c>
      <c r="H87" s="67"/>
      <c r="I87" s="67" t="e">
        <f>((I8+I28)-(I71)-((#REF!+#REF!)-I86))</f>
        <v>#REF!</v>
      </c>
      <c r="J87" s="17" t="e">
        <f>((J8+J28)-(J71)-((#REF!+#REF!)-J86))</f>
        <v>#REF!</v>
      </c>
    </row>
    <row r="88" spans="1:10" s="1" customFormat="1" ht="16.5" hidden="1" thickBot="1">
      <c r="A88" s="61"/>
      <c r="B88" s="65" t="s">
        <v>38</v>
      </c>
      <c r="C88" s="67" t="e">
        <f>-(C87-(C84-C19-C20-C22-#REF!))</f>
        <v>#REF!</v>
      </c>
      <c r="D88" s="67" t="e">
        <f>-(D87-(D84-D19-D20-D22-#REF!))</f>
        <v>#REF!</v>
      </c>
      <c r="E88" s="67" t="e">
        <f>-(E87-(E84-E19-E20-E22-#REF!))</f>
        <v>#REF!</v>
      </c>
      <c r="F88" s="67" t="e">
        <f>-(F87-(F84-F19-F20-F22-#REF!))</f>
        <v>#REF!</v>
      </c>
      <c r="G88" s="67" t="e">
        <f>-(G87-(G84-G19-G20-G22-#REF!))</f>
        <v>#REF!</v>
      </c>
      <c r="H88" s="67"/>
      <c r="I88" s="67" t="e">
        <f>-(I87-(I84-I19-I20-I22-#REF!))</f>
        <v>#REF!</v>
      </c>
      <c r="J88" s="18" t="e">
        <f>J87-J84</f>
        <v>#REF!</v>
      </c>
    </row>
    <row r="89" spans="1:10" s="1" customFormat="1" ht="16.5" thickTop="1">
      <c r="A89" s="61"/>
      <c r="B89" s="175"/>
      <c r="C89" s="175"/>
      <c r="D89" s="175"/>
      <c r="E89" s="175"/>
      <c r="F89" s="175"/>
      <c r="G89" s="175"/>
      <c r="H89" s="175"/>
      <c r="I89" s="175"/>
      <c r="J89" s="13"/>
    </row>
    <row r="90" spans="2:10" s="1" customFormat="1" ht="15.75">
      <c r="B90" s="14"/>
      <c r="C90" s="14"/>
      <c r="D90" s="14"/>
      <c r="E90" s="14"/>
      <c r="F90" s="14"/>
      <c r="G90" s="14"/>
      <c r="H90" s="14"/>
      <c r="I90" s="14"/>
      <c r="J90" s="14"/>
    </row>
    <row r="91" spans="2:10" s="1" customFormat="1" ht="15.75">
      <c r="B91" s="14"/>
      <c r="C91" s="14"/>
      <c r="D91" s="14"/>
      <c r="E91" s="14"/>
      <c r="F91" s="14"/>
      <c r="G91" s="14"/>
      <c r="H91" s="14"/>
      <c r="I91" s="14"/>
      <c r="J91" s="14"/>
    </row>
    <row r="92" spans="2:10" s="1" customFormat="1" ht="15.75">
      <c r="B92" s="14"/>
      <c r="C92" s="14"/>
      <c r="D92" s="14"/>
      <c r="E92" s="14"/>
      <c r="F92" s="14"/>
      <c r="G92" s="14"/>
      <c r="H92" s="14"/>
      <c r="I92" s="14"/>
      <c r="J92" s="14"/>
    </row>
    <row r="93" spans="2:10" s="1" customFormat="1" ht="15.75">
      <c r="B93" s="14"/>
      <c r="C93" s="14"/>
      <c r="D93" s="14"/>
      <c r="E93" s="14"/>
      <c r="F93" s="14"/>
      <c r="G93" s="14"/>
      <c r="H93" s="14"/>
      <c r="I93" s="14"/>
      <c r="J93" s="14"/>
    </row>
    <row r="94" spans="2:10" s="1" customFormat="1" ht="15.75">
      <c r="B94" s="2"/>
      <c r="C94" s="14"/>
      <c r="D94" s="14"/>
      <c r="E94" s="14"/>
      <c r="F94" s="14"/>
      <c r="G94" s="14"/>
      <c r="H94" s="14"/>
      <c r="I94" s="14"/>
      <c r="J94" s="14"/>
    </row>
    <row r="95" spans="2:10" s="1" customFormat="1" ht="15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s="1" customFormat="1" ht="15.75">
      <c r="B96" s="14"/>
      <c r="C96" s="14"/>
      <c r="D96" s="14"/>
      <c r="E96" s="14"/>
      <c r="F96" s="14"/>
      <c r="G96" s="14"/>
      <c r="H96" s="14"/>
      <c r="I96" s="14"/>
      <c r="J96" s="14"/>
    </row>
    <row r="97" spans="2:10" s="1" customFormat="1" ht="15.75">
      <c r="B97" s="14"/>
      <c r="C97" s="14"/>
      <c r="D97" s="14"/>
      <c r="E97" s="14"/>
      <c r="F97" s="14"/>
      <c r="G97" s="14"/>
      <c r="H97" s="14"/>
      <c r="I97" s="14"/>
      <c r="J97" s="14"/>
    </row>
    <row r="98" spans="2:10" s="1" customFormat="1" ht="15.75">
      <c r="B98" s="14"/>
      <c r="C98" s="14"/>
      <c r="D98" s="14"/>
      <c r="E98" s="14"/>
      <c r="F98" s="14"/>
      <c r="G98" s="14"/>
      <c r="H98" s="14"/>
      <c r="I98" s="14"/>
      <c r="J98" s="14"/>
    </row>
    <row r="99" spans="2:10" s="1" customFormat="1" ht="15.75">
      <c r="B99" s="14"/>
      <c r="C99" s="14"/>
      <c r="D99" s="14"/>
      <c r="E99" s="14"/>
      <c r="F99" s="14"/>
      <c r="G99" s="14"/>
      <c r="H99" s="14"/>
      <c r="I99" s="14"/>
      <c r="J99" s="14"/>
    </row>
    <row r="100" spans="2:10" s="1" customFormat="1" ht="15.7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s="1" customFormat="1" ht="18.75" customHeight="1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s="2" customFormat="1" ht="15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s="1" customFormat="1" ht="15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s="1" customFormat="1" ht="15.7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s="1" customFormat="1" ht="15.7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s="1" customFormat="1" ht="15.7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s="1" customFormat="1" ht="15.7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s="7" customFormat="1" ht="15.75">
      <c r="B108" s="14"/>
      <c r="C108" s="15"/>
      <c r="D108" s="15"/>
      <c r="E108" s="15"/>
      <c r="F108" s="15"/>
      <c r="G108" s="15"/>
      <c r="H108" s="15"/>
      <c r="I108" s="15"/>
      <c r="J108" s="15"/>
    </row>
    <row r="109" spans="2:10" s="1" customFormat="1" ht="15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5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5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5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s="1" customFormat="1" ht="15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s="1" customFormat="1" ht="15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s="1" customFormat="1" ht="15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s="1" customFormat="1" ht="15.75">
      <c r="B116" s="2"/>
      <c r="C116" s="2"/>
      <c r="D116" s="2"/>
      <c r="E116" s="2"/>
      <c r="F116" s="2"/>
      <c r="G116" s="2"/>
      <c r="H116" s="2"/>
      <c r="I116" s="2"/>
      <c r="J116" s="2"/>
    </row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</sheetData>
  <sheetProtection/>
  <mergeCells count="3">
    <mergeCell ref="A1:I1"/>
    <mergeCell ref="A2:I2"/>
    <mergeCell ref="A6:A8"/>
  </mergeCells>
  <printOptions horizontalCentered="1"/>
  <pageMargins left="0" right="0" top="0.7874015748031497" bottom="0.3937007874015748" header="0.3937007874015748" footer="0.3937007874015748"/>
  <pageSetup fitToHeight="1" fitToWidth="1" horizontalDpi="300" verticalDpi="300" orientation="landscape" paperSize="9" scale="38" r:id="rId1"/>
  <rowBreaks count="1" manualBreakCount="1">
    <brk id="40" max="255" man="1"/>
  </rowBreaks>
  <colBreaks count="1" manualBreakCount="1">
    <brk id="9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7:G65"/>
  <sheetViews>
    <sheetView showGridLines="0" view="pageBreakPreview" zoomScale="70" zoomScaleSheetLayoutView="70" zoomScalePageLayoutView="0" workbookViewId="0" topLeftCell="A10">
      <selection activeCell="F21" sqref="F21"/>
    </sheetView>
  </sheetViews>
  <sheetFormatPr defaultColWidth="8.8515625" defaultRowHeight="12.75"/>
  <cols>
    <col min="1" max="1" width="53.57421875" style="78" customWidth="1"/>
    <col min="2" max="2" width="16.8515625" style="78" customWidth="1"/>
    <col min="3" max="3" width="16.57421875" style="78" customWidth="1"/>
    <col min="4" max="4" width="13.00390625" style="78" customWidth="1"/>
    <col min="5" max="5" width="14.57421875" style="78" customWidth="1"/>
    <col min="6" max="6" width="15.8515625" style="78" customWidth="1"/>
    <col min="7" max="7" width="15.140625" style="78" customWidth="1"/>
    <col min="8" max="16384" width="8.8515625" style="78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7" ht="15">
      <c r="A7" s="438" t="s">
        <v>340</v>
      </c>
      <c r="B7" s="439"/>
      <c r="C7" s="439"/>
      <c r="D7" s="439"/>
      <c r="E7" s="439"/>
      <c r="F7" s="439"/>
      <c r="G7" s="439"/>
    </row>
    <row r="8" spans="1:7" ht="15">
      <c r="A8" s="440" t="s">
        <v>305</v>
      </c>
      <c r="B8" s="441"/>
      <c r="C8" s="441"/>
      <c r="D8" s="441"/>
      <c r="E8" s="441"/>
      <c r="F8" s="441"/>
      <c r="G8" s="441"/>
    </row>
    <row r="9" spans="1:7" ht="21" customHeight="1">
      <c r="A9" s="442" t="s">
        <v>274</v>
      </c>
      <c r="B9" s="443"/>
      <c r="C9" s="443"/>
      <c r="D9" s="443"/>
      <c r="E9" s="443"/>
      <c r="F9" s="443"/>
      <c r="G9" s="443"/>
    </row>
    <row r="10" spans="1:7" ht="15" customHeight="1">
      <c r="A10" s="436"/>
      <c r="B10" s="437"/>
      <c r="C10" s="437"/>
      <c r="D10" s="437"/>
      <c r="E10" s="437"/>
      <c r="F10" s="437"/>
      <c r="G10" s="437"/>
    </row>
    <row r="11" spans="1:7" ht="18" customHeight="1">
      <c r="A11" s="224" t="s">
        <v>210</v>
      </c>
      <c r="B11" s="224">
        <v>2007</v>
      </c>
      <c r="C11" s="224">
        <v>2008</v>
      </c>
      <c r="D11" s="224">
        <v>2009</v>
      </c>
      <c r="E11" s="224">
        <v>2010</v>
      </c>
      <c r="F11" s="224">
        <v>2011</v>
      </c>
      <c r="G11" s="224">
        <v>2012</v>
      </c>
    </row>
    <row r="12" spans="1:7" ht="15">
      <c r="A12" s="225" t="s">
        <v>353</v>
      </c>
      <c r="B12" s="226">
        <v>0.0446</v>
      </c>
      <c r="C12" s="226">
        <v>0.059</v>
      </c>
      <c r="D12" s="226">
        <v>0.045</v>
      </c>
      <c r="E12" s="227">
        <v>0.045</v>
      </c>
      <c r="F12" s="227">
        <v>0.045</v>
      </c>
      <c r="G12" s="227">
        <v>0.045</v>
      </c>
    </row>
    <row r="13" spans="1:7" ht="15">
      <c r="A13" s="225" t="s">
        <v>191</v>
      </c>
      <c r="B13" s="226">
        <v>0.054</v>
      </c>
      <c r="C13" s="226">
        <v>0.051</v>
      </c>
      <c r="D13" s="226">
        <v>0.02</v>
      </c>
      <c r="E13" s="227">
        <v>0.04</v>
      </c>
      <c r="F13" s="227">
        <v>0.04</v>
      </c>
      <c r="G13" s="227">
        <v>0.04</v>
      </c>
    </row>
    <row r="14" spans="1:7" ht="15">
      <c r="A14" s="228" t="s">
        <v>192</v>
      </c>
      <c r="B14" s="229">
        <f>IF(Projeções!C45=0,"0",((Projeções!D45/Projeções!C45)-1)-B12-B18)</f>
        <v>0.07059245472121664</v>
      </c>
      <c r="C14" s="229">
        <f>IF(Projeções!D45=0,"0",((Projeções!E45/Projeções!D45)-1)-C12-C18)</f>
        <v>-0.08692811533891948</v>
      </c>
      <c r="D14" s="229">
        <f>IF(Projeções!E45=0,"0",((Projeções!F45/Projeções!E45)-1)-D12-D18)</f>
        <v>-0.014379336371785748</v>
      </c>
      <c r="E14" s="227">
        <v>0.01</v>
      </c>
      <c r="F14" s="227">
        <v>0.02</v>
      </c>
      <c r="G14" s="227">
        <v>0.02</v>
      </c>
    </row>
    <row r="15" spans="1:7" ht="15">
      <c r="A15" s="230" t="s">
        <v>193</v>
      </c>
      <c r="B15" s="229">
        <f>IF(Projeções!C51=0,"0",((Projeções!D51/Projeções!C51)-1)-B12-B13)</f>
        <v>-0.057555814399479634</v>
      </c>
      <c r="C15" s="229">
        <f>IF(Projeções!D51=0,"0",((Projeções!E51/Projeções!D51)-1)-C12-C13)</f>
        <v>0.5546785324475126</v>
      </c>
      <c r="D15" s="229">
        <f>IF(Projeções!E51=0,"0",((Projeções!F51/Projeções!E51)-1)-D12-D13)</f>
        <v>-0.0559653028922385</v>
      </c>
      <c r="E15" s="227">
        <v>0.01</v>
      </c>
      <c r="F15" s="227">
        <v>0.02</v>
      </c>
      <c r="G15" s="227">
        <v>0.02</v>
      </c>
    </row>
    <row r="16" spans="1:7" ht="15">
      <c r="A16" s="230" t="s">
        <v>194</v>
      </c>
      <c r="B16" s="229">
        <f>IF(Projeções!C10=0,"0",((Projeções!D10/Projeções!C10)-1)-B12-B13)</f>
        <v>-0.008689410965712498</v>
      </c>
      <c r="C16" s="229">
        <f>IF(Projeções!D10=0,"0",((Projeções!E10/Projeções!D10)-1)-C12-C13)</f>
        <v>-0.05645298732079474</v>
      </c>
      <c r="D16" s="229">
        <f>IF(Projeções!E10=0,"0",((Projeções!F10/Projeções!E10)-1)-D12-D13)</f>
        <v>-0.03084461616672912</v>
      </c>
      <c r="E16" s="227">
        <v>0.01</v>
      </c>
      <c r="F16" s="227">
        <v>0.01</v>
      </c>
      <c r="G16" s="227">
        <v>0.01</v>
      </c>
    </row>
    <row r="17" spans="1:7" ht="15">
      <c r="A17" s="230" t="s">
        <v>195</v>
      </c>
      <c r="B17" s="229">
        <f>IF(Projeções!C22=0,"0",((Projeções!D22/Projeções!C22)-1)-B12-B13)</f>
        <v>-0.06065178782660017</v>
      </c>
      <c r="C17" s="229">
        <f>IF(Projeções!D22=0,"0",((Projeções!E22/Projeções!D22)-1)-C12-C13)</f>
        <v>-0.01531178797470701</v>
      </c>
      <c r="D17" s="229">
        <f>IF(Projeções!E22=0,"0",((Projeções!F22/Projeções!E22)-1)-D12-D13)</f>
        <v>-0.007036485575602266</v>
      </c>
      <c r="E17" s="227">
        <v>0.03</v>
      </c>
      <c r="F17" s="227">
        <v>0.04</v>
      </c>
      <c r="G17" s="227">
        <v>0.04</v>
      </c>
    </row>
    <row r="18" spans="1:7" ht="15">
      <c r="A18" s="225" t="s">
        <v>196</v>
      </c>
      <c r="B18" s="231">
        <v>0</v>
      </c>
      <c r="C18" s="238">
        <v>0</v>
      </c>
      <c r="D18" s="238">
        <v>0</v>
      </c>
      <c r="E18" s="232">
        <v>0.01</v>
      </c>
      <c r="F18" s="232">
        <v>0.01</v>
      </c>
      <c r="G18" s="232">
        <v>0.01</v>
      </c>
    </row>
    <row r="19" spans="1:7" ht="15">
      <c r="A19" s="233" t="s">
        <v>208</v>
      </c>
      <c r="B19" s="229">
        <f>IF(Projeções!C55=0,"0",((Projeções!D55/Projeções!C55)-1)-B12-B13)</f>
        <v>-0.7832664395341478</v>
      </c>
      <c r="C19" s="229">
        <f>IF(Projeções!D55=0,"0",((Projeções!E55/Projeções!D55)-1)-C12-C13)</f>
        <v>2.536125229944159</v>
      </c>
      <c r="D19" s="229">
        <f>IF(Projeções!E55=0,"0",((Projeções!F55/Projeções!E55)-1)-D12-D13)</f>
        <v>-0.8250397999606154</v>
      </c>
      <c r="E19" s="227">
        <v>0.02</v>
      </c>
      <c r="F19" s="227">
        <v>0.03</v>
      </c>
      <c r="G19" s="227">
        <v>0.03</v>
      </c>
    </row>
    <row r="20" spans="1:7" ht="15">
      <c r="A20" s="233" t="s">
        <v>209</v>
      </c>
      <c r="B20" s="234">
        <v>0.1125</v>
      </c>
      <c r="C20" s="234">
        <v>0.1375</v>
      </c>
      <c r="D20" s="234">
        <v>0.1025</v>
      </c>
      <c r="E20" s="227">
        <v>0.1021</v>
      </c>
      <c r="F20" s="227">
        <v>0.1007</v>
      </c>
      <c r="G20" s="227">
        <v>0.0999</v>
      </c>
    </row>
    <row r="21" spans="1:7" ht="15">
      <c r="A21" s="233" t="s">
        <v>289</v>
      </c>
      <c r="B21" s="237">
        <v>176712</v>
      </c>
      <c r="C21" s="235">
        <v>193490</v>
      </c>
      <c r="D21" s="235">
        <v>211629</v>
      </c>
      <c r="E21" s="236">
        <v>225097</v>
      </c>
      <c r="F21" s="236">
        <v>248580</v>
      </c>
      <c r="G21" s="236">
        <v>270217</v>
      </c>
    </row>
    <row r="22" spans="1:7" ht="14.25">
      <c r="A22" s="129"/>
      <c r="B22" s="129"/>
      <c r="C22" s="48"/>
      <c r="D22" s="48"/>
      <c r="E22" s="48"/>
      <c r="F22" s="48"/>
      <c r="G22" s="48"/>
    </row>
    <row r="23" spans="1:7" ht="12" customHeight="1">
      <c r="A23" s="435"/>
      <c r="B23" s="435"/>
      <c r="C23" s="435"/>
      <c r="D23" s="435"/>
      <c r="E23" s="435"/>
      <c r="F23" s="435"/>
      <c r="G23" s="435"/>
    </row>
    <row r="24" spans="1:7" ht="12" customHeight="1">
      <c r="A24" s="435"/>
      <c r="B24" s="435"/>
      <c r="C24" s="435"/>
      <c r="D24" s="435"/>
      <c r="E24" s="435"/>
      <c r="F24" s="435"/>
      <c r="G24" s="435"/>
    </row>
    <row r="25" spans="1:7" ht="12" customHeight="1">
      <c r="A25" s="435"/>
      <c r="B25" s="435"/>
      <c r="C25" s="435"/>
      <c r="D25" s="435"/>
      <c r="E25" s="435"/>
      <c r="F25" s="435"/>
      <c r="G25" s="435"/>
    </row>
    <row r="26" spans="1:7" ht="12" customHeight="1">
      <c r="A26" s="435"/>
      <c r="B26" s="435"/>
      <c r="C26" s="435"/>
      <c r="D26" s="435"/>
      <c r="E26" s="435"/>
      <c r="F26" s="435"/>
      <c r="G26" s="435"/>
    </row>
    <row r="27" spans="1:7" ht="58.5" customHeight="1">
      <c r="A27" s="435"/>
      <c r="B27" s="435"/>
      <c r="C27" s="435"/>
      <c r="D27" s="435"/>
      <c r="E27" s="435"/>
      <c r="F27" s="435"/>
      <c r="G27" s="435"/>
    </row>
    <row r="28" spans="1:7" ht="12" customHeight="1">
      <c r="A28" s="435"/>
      <c r="B28" s="435"/>
      <c r="C28" s="435"/>
      <c r="D28" s="435"/>
      <c r="E28" s="435"/>
      <c r="F28" s="435"/>
      <c r="G28" s="435"/>
    </row>
    <row r="29" spans="1:7" ht="12" customHeight="1">
      <c r="A29" s="435"/>
      <c r="B29" s="435"/>
      <c r="C29" s="435"/>
      <c r="D29" s="435"/>
      <c r="E29" s="435"/>
      <c r="F29" s="435"/>
      <c r="G29" s="435"/>
    </row>
    <row r="30" spans="1:7" ht="12" customHeight="1">
      <c r="A30" s="435"/>
      <c r="B30" s="435"/>
      <c r="C30" s="435"/>
      <c r="D30" s="435"/>
      <c r="E30" s="435"/>
      <c r="F30" s="435"/>
      <c r="G30" s="435"/>
    </row>
    <row r="31" spans="1:7" ht="12" customHeight="1">
      <c r="A31" s="435"/>
      <c r="B31" s="435"/>
      <c r="C31" s="435"/>
      <c r="D31" s="435"/>
      <c r="E31" s="435"/>
      <c r="F31" s="435"/>
      <c r="G31" s="435"/>
    </row>
    <row r="32" spans="1:7" ht="12" customHeight="1">
      <c r="A32" s="435"/>
      <c r="B32" s="435"/>
      <c r="C32" s="435"/>
      <c r="D32" s="435"/>
      <c r="E32" s="435"/>
      <c r="F32" s="435"/>
      <c r="G32" s="435"/>
    </row>
    <row r="33" spans="1:7" ht="12" customHeight="1">
      <c r="A33" s="435"/>
      <c r="B33" s="435"/>
      <c r="C33" s="435"/>
      <c r="D33" s="435"/>
      <c r="E33" s="435"/>
      <c r="F33" s="435"/>
      <c r="G33" s="435"/>
    </row>
    <row r="34" spans="1:7" ht="12" customHeight="1">
      <c r="A34" s="435"/>
      <c r="B34" s="435"/>
      <c r="C34" s="435"/>
      <c r="D34" s="435"/>
      <c r="E34" s="435"/>
      <c r="F34" s="435"/>
      <c r="G34" s="435"/>
    </row>
    <row r="35" spans="1:7" ht="12" customHeight="1">
      <c r="A35" s="435"/>
      <c r="B35" s="435"/>
      <c r="C35" s="435"/>
      <c r="D35" s="435"/>
      <c r="E35" s="435"/>
      <c r="F35" s="435"/>
      <c r="G35" s="435"/>
    </row>
    <row r="36" spans="1:7" ht="12" customHeight="1">
      <c r="A36" s="435"/>
      <c r="B36" s="435"/>
      <c r="C36" s="435"/>
      <c r="D36" s="435"/>
      <c r="E36" s="435"/>
      <c r="F36" s="435"/>
      <c r="G36" s="435"/>
    </row>
    <row r="37" spans="1:7" ht="12" customHeight="1">
      <c r="A37" s="435"/>
      <c r="B37" s="435"/>
      <c r="C37" s="435"/>
      <c r="D37" s="435"/>
      <c r="E37" s="435"/>
      <c r="F37" s="435"/>
      <c r="G37" s="435"/>
    </row>
    <row r="38" spans="1:7" ht="12" customHeight="1">
      <c r="A38" s="435"/>
      <c r="B38" s="435"/>
      <c r="C38" s="435"/>
      <c r="D38" s="435"/>
      <c r="E38" s="435"/>
      <c r="F38" s="435"/>
      <c r="G38" s="435"/>
    </row>
    <row r="39" spans="1:7" ht="12" customHeight="1">
      <c r="A39" s="435"/>
      <c r="B39" s="435"/>
      <c r="C39" s="435"/>
      <c r="D39" s="435"/>
      <c r="E39" s="435"/>
      <c r="F39" s="435"/>
      <c r="G39" s="435"/>
    </row>
    <row r="40" spans="1:7" ht="12" customHeight="1">
      <c r="A40" s="435"/>
      <c r="B40" s="435"/>
      <c r="C40" s="435"/>
      <c r="D40" s="435"/>
      <c r="E40" s="435"/>
      <c r="F40" s="435"/>
      <c r="G40" s="435"/>
    </row>
    <row r="41" spans="1:7" ht="12" customHeight="1">
      <c r="A41" s="435"/>
      <c r="B41" s="435"/>
      <c r="C41" s="435"/>
      <c r="D41" s="435"/>
      <c r="E41" s="435"/>
      <c r="F41" s="435"/>
      <c r="G41" s="435"/>
    </row>
    <row r="42" spans="1:7" ht="12" customHeight="1">
      <c r="A42" s="435"/>
      <c r="B42" s="435"/>
      <c r="C42" s="435"/>
      <c r="D42" s="435"/>
      <c r="E42" s="435"/>
      <c r="F42" s="435"/>
      <c r="G42" s="435"/>
    </row>
    <row r="43" spans="1:7" ht="12" customHeight="1">
      <c r="A43" s="435"/>
      <c r="B43" s="435"/>
      <c r="C43" s="435"/>
      <c r="D43" s="435"/>
      <c r="E43" s="435"/>
      <c r="F43" s="435"/>
      <c r="G43" s="435"/>
    </row>
    <row r="44" spans="1:7" ht="12" customHeight="1">
      <c r="A44" s="435"/>
      <c r="B44" s="435"/>
      <c r="C44" s="435"/>
      <c r="D44" s="435"/>
      <c r="E44" s="435"/>
      <c r="F44" s="435"/>
      <c r="G44" s="435"/>
    </row>
    <row r="45" spans="1:7" ht="12" customHeight="1">
      <c r="A45" s="435"/>
      <c r="B45" s="435"/>
      <c r="C45" s="435"/>
      <c r="D45" s="435"/>
      <c r="E45" s="435"/>
      <c r="F45" s="435"/>
      <c r="G45" s="435"/>
    </row>
    <row r="46" spans="1:7" ht="12" customHeight="1">
      <c r="A46" s="435"/>
      <c r="B46" s="435"/>
      <c r="C46" s="435"/>
      <c r="D46" s="435"/>
      <c r="E46" s="435"/>
      <c r="F46" s="435"/>
      <c r="G46" s="435"/>
    </row>
    <row r="47" spans="1:7" ht="12" customHeight="1">
      <c r="A47" s="435"/>
      <c r="B47" s="435"/>
      <c r="C47" s="435"/>
      <c r="D47" s="435"/>
      <c r="E47" s="435"/>
      <c r="F47" s="435"/>
      <c r="G47" s="435"/>
    </row>
    <row r="48" spans="1:7" ht="12" customHeight="1">
      <c r="A48" s="435"/>
      <c r="B48" s="435"/>
      <c r="C48" s="435"/>
      <c r="D48" s="435"/>
      <c r="E48" s="435"/>
      <c r="F48" s="435"/>
      <c r="G48" s="435"/>
    </row>
    <row r="49" spans="1:7" ht="12" customHeight="1">
      <c r="A49" s="435"/>
      <c r="B49" s="435"/>
      <c r="C49" s="435"/>
      <c r="D49" s="435"/>
      <c r="E49" s="435"/>
      <c r="F49" s="435"/>
      <c r="G49" s="435"/>
    </row>
    <row r="50" spans="1:7" ht="12" customHeight="1">
      <c r="A50" s="435"/>
      <c r="B50" s="435"/>
      <c r="C50" s="435"/>
      <c r="D50" s="435"/>
      <c r="E50" s="435"/>
      <c r="F50" s="435"/>
      <c r="G50" s="435"/>
    </row>
    <row r="51" spans="1:7" ht="12" customHeight="1">
      <c r="A51" s="435"/>
      <c r="B51" s="435"/>
      <c r="C51" s="435"/>
      <c r="D51" s="435"/>
      <c r="E51" s="435"/>
      <c r="F51" s="435"/>
      <c r="G51" s="435"/>
    </row>
    <row r="52" spans="1:7" ht="12" customHeight="1">
      <c r="A52" s="435"/>
      <c r="B52" s="435"/>
      <c r="C52" s="435"/>
      <c r="D52" s="435"/>
      <c r="E52" s="435"/>
      <c r="F52" s="435"/>
      <c r="G52" s="435"/>
    </row>
    <row r="53" spans="1:7" ht="12" customHeight="1">
      <c r="A53" s="435"/>
      <c r="B53" s="435"/>
      <c r="C53" s="435"/>
      <c r="D53" s="435"/>
      <c r="E53" s="435"/>
      <c r="F53" s="435"/>
      <c r="G53" s="435"/>
    </row>
    <row r="54" spans="1:7" ht="12" customHeight="1">
      <c r="A54" s="435"/>
      <c r="B54" s="435"/>
      <c r="C54" s="435"/>
      <c r="D54" s="435"/>
      <c r="E54" s="435"/>
      <c r="F54" s="435"/>
      <c r="G54" s="435"/>
    </row>
    <row r="55" spans="1:7" ht="12" customHeight="1">
      <c r="A55" s="435"/>
      <c r="B55" s="435"/>
      <c r="C55" s="435"/>
      <c r="D55" s="435"/>
      <c r="E55" s="435"/>
      <c r="F55" s="435"/>
      <c r="G55" s="435"/>
    </row>
    <row r="56" spans="1:7" ht="12" customHeight="1">
      <c r="A56" s="435"/>
      <c r="B56" s="435"/>
      <c r="C56" s="435"/>
      <c r="D56" s="435"/>
      <c r="E56" s="435"/>
      <c r="F56" s="435"/>
      <c r="G56" s="435"/>
    </row>
    <row r="57" spans="1:7" ht="12" customHeight="1">
      <c r="A57" s="435"/>
      <c r="B57" s="435"/>
      <c r="C57" s="435"/>
      <c r="D57" s="435"/>
      <c r="E57" s="435"/>
      <c r="F57" s="435"/>
      <c r="G57" s="435"/>
    </row>
    <row r="58" spans="1:7" ht="12" customHeight="1">
      <c r="A58" s="435"/>
      <c r="B58" s="435"/>
      <c r="C58" s="435"/>
      <c r="D58" s="435"/>
      <c r="E58" s="435"/>
      <c r="F58" s="435"/>
      <c r="G58" s="435"/>
    </row>
    <row r="59" spans="1:7" ht="12" customHeight="1">
      <c r="A59" s="435"/>
      <c r="B59" s="435"/>
      <c r="C59" s="435"/>
      <c r="D59" s="435"/>
      <c r="E59" s="435"/>
      <c r="F59" s="435"/>
      <c r="G59" s="435"/>
    </row>
    <row r="60" spans="1:7" ht="12" customHeight="1">
      <c r="A60" s="435"/>
      <c r="B60" s="435"/>
      <c r="C60" s="435"/>
      <c r="D60" s="435"/>
      <c r="E60" s="435"/>
      <c r="F60" s="435"/>
      <c r="G60" s="435"/>
    </row>
    <row r="61" spans="1:7" ht="12" customHeight="1">
      <c r="A61" s="435"/>
      <c r="B61" s="435"/>
      <c r="C61" s="435"/>
      <c r="D61" s="435"/>
      <c r="E61" s="435"/>
      <c r="F61" s="435"/>
      <c r="G61" s="435"/>
    </row>
    <row r="62" spans="1:7" ht="12" customHeight="1">
      <c r="A62" s="435"/>
      <c r="B62" s="435"/>
      <c r="C62" s="435"/>
      <c r="D62" s="435"/>
      <c r="E62" s="435"/>
      <c r="F62" s="435"/>
      <c r="G62" s="435"/>
    </row>
    <row r="63" spans="1:7" ht="12" customHeight="1">
      <c r="A63" s="435"/>
      <c r="B63" s="435"/>
      <c r="C63" s="435"/>
      <c r="D63" s="435"/>
      <c r="E63" s="435"/>
      <c r="F63" s="435"/>
      <c r="G63" s="435"/>
    </row>
    <row r="64" spans="1:7" ht="12" customHeight="1">
      <c r="A64" s="435"/>
      <c r="B64" s="435"/>
      <c r="C64" s="435"/>
      <c r="D64" s="435"/>
      <c r="E64" s="435"/>
      <c r="F64" s="435"/>
      <c r="G64" s="435"/>
    </row>
    <row r="65" spans="1:7" ht="12" customHeight="1">
      <c r="A65" s="435"/>
      <c r="B65" s="435"/>
      <c r="C65" s="435"/>
      <c r="D65" s="435"/>
      <c r="E65" s="435"/>
      <c r="F65" s="435"/>
      <c r="G65" s="435"/>
    </row>
  </sheetData>
  <sheetProtection/>
  <mergeCells count="5">
    <mergeCell ref="A23:G65"/>
    <mergeCell ref="A10:G10"/>
    <mergeCell ref="A7:G7"/>
    <mergeCell ref="A8:G8"/>
    <mergeCell ref="A9:G9"/>
  </mergeCells>
  <printOptions gridLines="1" horizontalCentered="1"/>
  <pageMargins left="0" right="0" top="0.3937007874015748" bottom="0.196850393700787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J21"/>
  <sheetViews>
    <sheetView view="pageBreakPreview" zoomScaleNormal="80" zoomScaleSheetLayoutView="100" zoomScalePageLayoutView="0" workbookViewId="0" topLeftCell="A10">
      <selection activeCell="C21" sqref="C21"/>
    </sheetView>
  </sheetViews>
  <sheetFormatPr defaultColWidth="9.140625" defaultRowHeight="12.75"/>
  <cols>
    <col min="1" max="1" width="34.8515625" style="0" customWidth="1"/>
    <col min="2" max="3" width="14.57421875" style="0" bestFit="1" customWidth="1"/>
    <col min="4" max="4" width="12.140625" style="0" customWidth="1"/>
    <col min="5" max="6" width="14.57421875" style="0" bestFit="1" customWidth="1"/>
    <col min="7" max="7" width="10.7109375" style="0" customWidth="1"/>
    <col min="8" max="9" width="14.57421875" style="0" bestFit="1" customWidth="1"/>
    <col min="10" max="10" width="11.8515625" style="0" customWidth="1"/>
  </cols>
  <sheetData>
    <row r="1" spans="1:10" ht="18.75">
      <c r="A1" s="447" t="str">
        <f>Parâmetros!A7</f>
        <v>Município de : J A G U A R I - RS</v>
      </c>
      <c r="B1" s="448"/>
      <c r="C1" s="448"/>
      <c r="D1" s="448"/>
      <c r="E1" s="448"/>
      <c r="F1" s="448"/>
      <c r="G1" s="448"/>
      <c r="H1" s="448"/>
      <c r="I1" s="448"/>
      <c r="J1" s="449"/>
    </row>
    <row r="2" spans="1:10" ht="18.75">
      <c r="A2" s="450" t="s">
        <v>42</v>
      </c>
      <c r="B2" s="448"/>
      <c r="C2" s="448"/>
      <c r="D2" s="448"/>
      <c r="E2" s="448"/>
      <c r="F2" s="448"/>
      <c r="G2" s="448"/>
      <c r="H2" s="448"/>
      <c r="I2" s="448"/>
      <c r="J2" s="449"/>
    </row>
    <row r="3" spans="1:10" ht="18.75">
      <c r="A3" s="450" t="s">
        <v>167</v>
      </c>
      <c r="B3" s="448"/>
      <c r="C3" s="448"/>
      <c r="D3" s="448"/>
      <c r="E3" s="448"/>
      <c r="F3" s="448"/>
      <c r="G3" s="448"/>
      <c r="H3" s="448"/>
      <c r="I3" s="448"/>
      <c r="J3" s="449"/>
    </row>
    <row r="4" spans="1:10" ht="18.75">
      <c r="A4" s="451" t="s">
        <v>235</v>
      </c>
      <c r="B4" s="452"/>
      <c r="C4" s="452"/>
      <c r="D4" s="452"/>
      <c r="E4" s="452"/>
      <c r="F4" s="452"/>
      <c r="G4" s="452"/>
      <c r="H4" s="452"/>
      <c r="I4" s="452"/>
      <c r="J4" s="453"/>
    </row>
    <row r="5" spans="1:10" ht="17.25" customHeight="1">
      <c r="A5" s="450" t="s">
        <v>292</v>
      </c>
      <c r="B5" s="448"/>
      <c r="C5" s="448"/>
      <c r="D5" s="448"/>
      <c r="E5" s="448"/>
      <c r="F5" s="448"/>
      <c r="G5" s="448"/>
      <c r="H5" s="448"/>
      <c r="I5" s="448"/>
      <c r="J5" s="449"/>
    </row>
    <row r="6" spans="1:10" ht="21.75" customHeight="1">
      <c r="A6" s="74"/>
      <c r="B6" s="76"/>
      <c r="C6" s="76"/>
      <c r="D6" s="76"/>
      <c r="E6" s="76"/>
      <c r="F6" s="76"/>
      <c r="G6" s="76"/>
      <c r="H6" s="76"/>
      <c r="I6" s="76"/>
      <c r="J6" s="77"/>
    </row>
    <row r="7" spans="1:10" ht="15.75">
      <c r="A7" s="121" t="s">
        <v>280</v>
      </c>
      <c r="B7" s="455"/>
      <c r="C7" s="455"/>
      <c r="D7" s="455"/>
      <c r="E7" s="455"/>
      <c r="F7" s="455"/>
      <c r="G7" s="455"/>
      <c r="H7" s="456">
        <v>1</v>
      </c>
      <c r="I7" s="457"/>
      <c r="J7" s="457"/>
    </row>
    <row r="8" spans="1:10" s="27" customFormat="1" ht="18.75">
      <c r="A8" s="458" t="s">
        <v>94</v>
      </c>
      <c r="B8" s="444">
        <v>2010</v>
      </c>
      <c r="C8" s="445"/>
      <c r="D8" s="446"/>
      <c r="E8" s="444">
        <v>2011</v>
      </c>
      <c r="F8" s="445"/>
      <c r="G8" s="446"/>
      <c r="H8" s="444">
        <v>2012</v>
      </c>
      <c r="I8" s="445"/>
      <c r="J8" s="446"/>
    </row>
    <row r="9" spans="1:10" ht="15.75" customHeight="1">
      <c r="A9" s="459"/>
      <c r="B9" s="381" t="s">
        <v>95</v>
      </c>
      <c r="C9" s="382" t="s">
        <v>95</v>
      </c>
      <c r="D9" s="382" t="s">
        <v>96</v>
      </c>
      <c r="E9" s="382" t="s">
        <v>95</v>
      </c>
      <c r="F9" s="382" t="s">
        <v>95</v>
      </c>
      <c r="G9" s="382" t="s">
        <v>96</v>
      </c>
      <c r="H9" s="381" t="s">
        <v>95</v>
      </c>
      <c r="I9" s="382" t="s">
        <v>95</v>
      </c>
      <c r="J9" s="383" t="s">
        <v>96</v>
      </c>
    </row>
    <row r="10" spans="1:10" ht="15.75" customHeight="1">
      <c r="A10" s="459"/>
      <c r="B10" s="384" t="s">
        <v>97</v>
      </c>
      <c r="C10" s="385" t="s">
        <v>98</v>
      </c>
      <c r="D10" s="385" t="s">
        <v>99</v>
      </c>
      <c r="E10" s="385" t="s">
        <v>97</v>
      </c>
      <c r="F10" s="385" t="s">
        <v>98</v>
      </c>
      <c r="G10" s="385" t="s">
        <v>100</v>
      </c>
      <c r="H10" s="384" t="s">
        <v>97</v>
      </c>
      <c r="I10" s="385" t="s">
        <v>98</v>
      </c>
      <c r="J10" s="386" t="s">
        <v>101</v>
      </c>
    </row>
    <row r="11" spans="1:10" ht="18.75">
      <c r="A11" s="460"/>
      <c r="B11" s="387" t="s">
        <v>102</v>
      </c>
      <c r="C11" s="388"/>
      <c r="D11" s="389" t="s">
        <v>103</v>
      </c>
      <c r="E11" s="389" t="s">
        <v>104</v>
      </c>
      <c r="F11" s="388"/>
      <c r="G11" s="389" t="s">
        <v>103</v>
      </c>
      <c r="H11" s="387" t="s">
        <v>105</v>
      </c>
      <c r="I11" s="388"/>
      <c r="J11" s="390" t="s">
        <v>103</v>
      </c>
    </row>
    <row r="12" spans="1:10" ht="18.75">
      <c r="A12" s="391" t="s">
        <v>44</v>
      </c>
      <c r="B12" s="392">
        <f>Projeções!G35</f>
        <v>15186659.094051998</v>
      </c>
      <c r="C12" s="392">
        <f>B12/(1+Parâmetros!E12)</f>
        <v>14532688.128279425</v>
      </c>
      <c r="D12" s="393">
        <f>B12/(Parâmetros!E21)/1000000</f>
        <v>6.746717679068133E-05</v>
      </c>
      <c r="E12" s="392">
        <f>Projeções!H35</f>
        <v>16396433.43665016</v>
      </c>
      <c r="F12" s="392">
        <f>E12/((1+Parâmetros!E12)*(1+Parâmetros!F12))</f>
        <v>15014705.191410603</v>
      </c>
      <c r="G12" s="393">
        <f>E12/(Parâmetros!F21)/1000000</f>
        <v>6.596038875472749E-05</v>
      </c>
      <c r="H12" s="392">
        <f>Projeções!I35</f>
        <v>17705456.075777315</v>
      </c>
      <c r="I12" s="392">
        <f>H12/((1+Parâmetros!E12)*(1+Parâmetros!F12)*(1+Parâmetros!G12))</f>
        <v>15515231.032447021</v>
      </c>
      <c r="J12" s="393">
        <f>H12/(Parâmetros!G21)/1000000</f>
        <v>6.552310208379678E-05</v>
      </c>
    </row>
    <row r="13" spans="1:10" ht="18.75">
      <c r="A13" s="391" t="s">
        <v>174</v>
      </c>
      <c r="B13" s="392">
        <f>B12-(Projeções!G15+Projeções!G27+Projeções!G28+Projeções!G29)</f>
        <v>14769996.694051998</v>
      </c>
      <c r="C13" s="392">
        <f>B13/(1+Parâmetros!E12)</f>
        <v>14133968.128279425</v>
      </c>
      <c r="D13" s="393">
        <f>B13/(Parâmetros!E21)/1000000</f>
        <v>6.561614190349937E-05</v>
      </c>
      <c r="E13" s="392">
        <f>E12-(Projeções!H15+Projeções!H27+Projeções!H28+Projeções!H29)</f>
        <v>15960203.52033016</v>
      </c>
      <c r="F13" s="392">
        <f>E13/((1+Parâmetros!E12)*(1+Parâmetros!F12))</f>
        <v>14615236.391410602</v>
      </c>
      <c r="G13" s="393">
        <f>E13/(Parâmetros!F21)/1000000</f>
        <v>6.420550132886862E-05</v>
      </c>
      <c r="H13" s="392">
        <f>H12-(Projeções!I15+Projeções!I27+Projeções!I28+Projeções!I29)</f>
        <v>17248707.127820738</v>
      </c>
      <c r="I13" s="392">
        <f>H13/((1+Parâmetros!E12)*(1+Parâmetros!F12)*(1+Parâmetros!G12))</f>
        <v>15114983.48044702</v>
      </c>
      <c r="J13" s="393">
        <f>H13/(Parâmetros!G21)/1000000</f>
        <v>6.383279781738653E-05</v>
      </c>
    </row>
    <row r="14" spans="1:10" ht="18.75">
      <c r="A14" s="391" t="s">
        <v>45</v>
      </c>
      <c r="B14" s="392">
        <f>Projeções!G64</f>
        <v>15186659.094051998</v>
      </c>
      <c r="C14" s="392">
        <f>B14/(1+Parâmetros!E12)</f>
        <v>14532688.128279425</v>
      </c>
      <c r="D14" s="393">
        <f>B14/(Parâmetros!E21)/1000000</f>
        <v>6.746717679068133E-05</v>
      </c>
      <c r="E14" s="392">
        <f>Projeções!H64</f>
        <v>16396433.43665016</v>
      </c>
      <c r="F14" s="392">
        <f>E14/((1+Parâmetros!E12)*(1+Parâmetros!F12))</f>
        <v>15014705.191410603</v>
      </c>
      <c r="G14" s="393">
        <f>E14/(Parâmetros!F21)/1000000</f>
        <v>6.596038875472749E-05</v>
      </c>
      <c r="H14" s="392">
        <f>Projeções!I64</f>
        <v>17705456.075777315</v>
      </c>
      <c r="I14" s="392">
        <f>H14/((1+Parâmetros!E12)*(1+Parâmetros!F12)*(1+Parâmetros!G12))</f>
        <v>15515231.032447021</v>
      </c>
      <c r="J14" s="393">
        <f>H14/(Parâmetros!G21)/1000000</f>
        <v>6.552310208379678E-05</v>
      </c>
    </row>
    <row r="15" spans="1:10" ht="18.75">
      <c r="A15" s="391" t="s">
        <v>169</v>
      </c>
      <c r="B15" s="392">
        <f>B14-(Projeções!G48+Projeções!G59+Projeções!G61)</f>
        <v>14960838.804051999</v>
      </c>
      <c r="C15" s="392">
        <f>B15/(1+Parâmetros!E12)</f>
        <v>14316592.156987559</v>
      </c>
      <c r="D15" s="393">
        <f>B15/(Parâmetros!E21)/1000000</f>
        <v>6.646396355372129E-05</v>
      </c>
      <c r="E15" s="392">
        <f>E14-(Projeções!H48+Projeções!H59+Projeções!H61)</f>
        <v>16147873.043447161</v>
      </c>
      <c r="F15" s="392">
        <f>E15/((1+Parâmetros!E12)*(1+Parâmetros!F12))</f>
        <v>14787090.994663276</v>
      </c>
      <c r="G15" s="393">
        <f>E15/(Parâmetros!F21)/1000000</f>
        <v>6.496046762992663E-05</v>
      </c>
      <c r="H15" s="392">
        <f>H14-(Projeções!I48+Projeções!I59+Projeções!I61)</f>
        <v>17432064.499293335</v>
      </c>
      <c r="I15" s="392">
        <f>H15/((1+Parâmetros!E12)*(1+Parâmetros!F12)*(1+Parâmetros!G12))</f>
        <v>15275658.922396893</v>
      </c>
      <c r="J15" s="393">
        <f>H15/(Parâmetros!G21)/1000000</f>
        <v>6.451135383522626E-05</v>
      </c>
    </row>
    <row r="16" spans="1:10" ht="18.75">
      <c r="A16" s="391" t="s">
        <v>114</v>
      </c>
      <c r="B16" s="392">
        <f>B13-B15</f>
        <v>-190842.11000000127</v>
      </c>
      <c r="C16" s="392">
        <f>C13-C15</f>
        <v>-182624.02870813385</v>
      </c>
      <c r="D16" s="393">
        <f>B16/(Parâmetros!E21)/1000000</f>
        <v>-8.4782165022191E-07</v>
      </c>
      <c r="E16" s="392">
        <f>E13-E15</f>
        <v>-187669.52311700024</v>
      </c>
      <c r="F16" s="392">
        <f>F13-F15</f>
        <v>-171854.60325267352</v>
      </c>
      <c r="G16" s="393">
        <f>E16/(Parâmetros!F21)/1000000</f>
        <v>-7.549663010580104E-07</v>
      </c>
      <c r="H16" s="392">
        <f>H13-H15</f>
        <v>-183357.37147259712</v>
      </c>
      <c r="I16" s="392">
        <f>I13-I15</f>
        <v>-160675.4419498723</v>
      </c>
      <c r="J16" s="393">
        <f>H16/(Parâmetros!G21)/1000000</f>
        <v>-6.785560178397256E-07</v>
      </c>
    </row>
    <row r="17" spans="1:10" ht="18.75">
      <c r="A17" s="391" t="s">
        <v>43</v>
      </c>
      <c r="B17" s="392">
        <f>Dívida!E12</f>
        <v>-621837.6699999999</v>
      </c>
      <c r="C17" s="392">
        <f>B17/(1+Parâmetros!E12)</f>
        <v>-595059.971291866</v>
      </c>
      <c r="D17" s="393">
        <f>B17/(Parâmetros!E21)/1000000</f>
        <v>-2.7625320195293583E-06</v>
      </c>
      <c r="E17" s="392">
        <f>Dívida!F12</f>
        <v>-200896.37986966688</v>
      </c>
      <c r="F17" s="392">
        <f>E17/((1+Parâmetros!E12)*(1+Parâmetros!F12))</f>
        <v>-183966.83214181627</v>
      </c>
      <c r="G17" s="393">
        <f>E17/(Parâmetros!F21)/1000000</f>
        <v>-8.081759589253637E-07</v>
      </c>
      <c r="H17" s="392">
        <f>Dívida!G12</f>
        <v>-173161.79203953524</v>
      </c>
      <c r="I17" s="392">
        <f>H17/((1+Parâmetros!E12)*(1+Parâmetros!F12)*(1+Parâmetros!G12))</f>
        <v>-151741.09031630718</v>
      </c>
      <c r="J17" s="393">
        <f>H17/(Parâmetros!G21)/1000000</f>
        <v>-6.40824937141391E-07</v>
      </c>
    </row>
    <row r="18" spans="1:10" ht="18.75">
      <c r="A18" s="391" t="s">
        <v>356</v>
      </c>
      <c r="B18" s="392">
        <f>Dívida!E7</f>
        <v>1889462.77</v>
      </c>
      <c r="C18" s="392">
        <f>B18/(1+Parâmetros!E12)</f>
        <v>1808098.3444976078</v>
      </c>
      <c r="D18" s="393">
        <f>B18/(Parâmetros!E21)/1000000</f>
        <v>8.393993567217687E-06</v>
      </c>
      <c r="E18" s="392">
        <f>Dívida!F7</f>
        <v>1640902.376797</v>
      </c>
      <c r="F18" s="392">
        <f>E18/((1+Parâmetros!E12)*(1+Parâmetros!F12))</f>
        <v>1502623.4534896181</v>
      </c>
      <c r="G18" s="393">
        <f>E18/(Parâmetros!F21)/1000000</f>
        <v>6.601103776639311E-06</v>
      </c>
      <c r="H18" s="392">
        <f>Dívida!G7</f>
        <v>1367510.8003130201</v>
      </c>
      <c r="I18" s="392">
        <f>H18/((1+Parâmetros!E12)*(1+Parâmetros!F12)*(1+Parâmetros!G12))</f>
        <v>1198345.0703227108</v>
      </c>
      <c r="J18" s="393">
        <f>H18/(Parâmetros!G21)/1000000</f>
        <v>5.060787442363064E-06</v>
      </c>
    </row>
    <row r="19" spans="1:10" ht="18.75">
      <c r="A19" s="394" t="s">
        <v>357</v>
      </c>
      <c r="B19" s="392">
        <f>Dívida!E9</f>
        <v>1298720.37</v>
      </c>
      <c r="C19" s="392">
        <f>B19/(1+Parâmetros!E12)</f>
        <v>1242794.6124401917</v>
      </c>
      <c r="D19" s="393">
        <f>B19/(Parâmetros!E21)/1000000</f>
        <v>5.7696031932900044E-06</v>
      </c>
      <c r="E19" s="392">
        <f>Dívida!F9</f>
        <v>1097823.9901303332</v>
      </c>
      <c r="F19" s="392">
        <f>E19/((1+Parâmetros!E12)*(1+Parâmetros!F12))</f>
        <v>1005310.3089492762</v>
      </c>
      <c r="G19" s="393">
        <f>E19/(Parâmetros!F21)/1000000</f>
        <v>4.416381004627617E-06</v>
      </c>
      <c r="H19" s="392">
        <f>Dívida!G9</f>
        <v>924662.198090798</v>
      </c>
      <c r="I19" s="392">
        <f>H19/((1+Parâmetros!E12)*(1+Parâmetros!F12)*(1+Parâmetros!G12))</f>
        <v>810278.3440849142</v>
      </c>
      <c r="J19" s="393">
        <f>H19/(Parâmetros!G21)/1000000</f>
        <v>3.421924594273484E-06</v>
      </c>
    </row>
    <row r="20" spans="1:10" ht="12.75">
      <c r="A20" s="454" t="s">
        <v>355</v>
      </c>
      <c r="B20" s="454"/>
      <c r="C20" s="454"/>
      <c r="D20" s="454"/>
      <c r="E20" s="454"/>
      <c r="F20" s="454"/>
      <c r="G20" s="454"/>
      <c r="H20" s="454"/>
      <c r="I20" s="454"/>
      <c r="J20" s="454"/>
    </row>
    <row r="21" spans="1:10" ht="12.75">
      <c r="A21" s="256"/>
      <c r="B21" s="256"/>
      <c r="C21" s="256"/>
      <c r="D21" s="256"/>
      <c r="E21" s="256"/>
      <c r="F21" s="256"/>
      <c r="G21" s="256"/>
      <c r="H21" s="256"/>
      <c r="I21" s="256"/>
      <c r="J21" s="256"/>
    </row>
    <row r="22" s="75" customFormat="1" ht="15" customHeight="1"/>
  </sheetData>
  <sheetProtection/>
  <mergeCells count="13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</mergeCells>
  <printOptions horizontalCentered="1"/>
  <pageMargins left="0.984251968503937" right="0.1968503937007874" top="0.7874015748031497" bottom="0.3937007874015748" header="0.5118110236220472" footer="0.5118110236220472"/>
  <pageSetup fitToHeight="1" fitToWidth="1" horizontalDpi="300" verticalDpi="3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90" zoomScaleSheetLayoutView="100" zoomScalePageLayoutView="0" workbookViewId="0" topLeftCell="A7">
      <selection activeCell="I19" sqref="I19"/>
    </sheetView>
  </sheetViews>
  <sheetFormatPr defaultColWidth="9.140625" defaultRowHeight="12.75"/>
  <cols>
    <col min="1" max="1" width="32.57421875" style="0" customWidth="1"/>
    <col min="2" max="2" width="12.140625" style="0" customWidth="1"/>
    <col min="3" max="3" width="13.421875" style="0" customWidth="1"/>
    <col min="4" max="4" width="12.140625" style="0" customWidth="1"/>
    <col min="5" max="6" width="12.8515625" style="0" customWidth="1"/>
    <col min="7" max="7" width="10.7109375" style="0" customWidth="1"/>
    <col min="8" max="8" width="12.8515625" style="0" customWidth="1"/>
    <col min="9" max="9" width="13.140625" style="0" customWidth="1"/>
    <col min="10" max="10" width="11.421875" style="0" customWidth="1"/>
  </cols>
  <sheetData>
    <row r="1" spans="1:10" ht="15.75">
      <c r="A1" s="424" t="str">
        <f>Parâmetros!A7</f>
        <v>Município de : J A G U A R I - RS</v>
      </c>
      <c r="B1" s="425"/>
      <c r="C1" s="425"/>
      <c r="D1" s="425"/>
      <c r="E1" s="425"/>
      <c r="F1" s="425"/>
      <c r="G1" s="425"/>
      <c r="H1" s="425"/>
      <c r="I1" s="425"/>
      <c r="J1" s="461"/>
    </row>
    <row r="2" spans="1:10" ht="15.75">
      <c r="A2" s="426" t="s">
        <v>42</v>
      </c>
      <c r="B2" s="425"/>
      <c r="C2" s="425"/>
      <c r="D2" s="425"/>
      <c r="E2" s="425"/>
      <c r="F2" s="425"/>
      <c r="G2" s="425"/>
      <c r="H2" s="425"/>
      <c r="I2" s="425"/>
      <c r="J2" s="461"/>
    </row>
    <row r="3" spans="1:10" ht="15.75">
      <c r="A3" s="426" t="s">
        <v>167</v>
      </c>
      <c r="B3" s="425"/>
      <c r="C3" s="425"/>
      <c r="D3" s="425"/>
      <c r="E3" s="425"/>
      <c r="F3" s="425"/>
      <c r="G3" s="425"/>
      <c r="H3" s="425"/>
      <c r="I3" s="425"/>
      <c r="J3" s="461"/>
    </row>
    <row r="4" spans="1:10" ht="15.75">
      <c r="A4" s="427" t="s">
        <v>236</v>
      </c>
      <c r="B4" s="428"/>
      <c r="C4" s="428"/>
      <c r="D4" s="428"/>
      <c r="E4" s="428"/>
      <c r="F4" s="428"/>
      <c r="G4" s="428"/>
      <c r="H4" s="428"/>
      <c r="I4" s="428"/>
      <c r="J4" s="462"/>
    </row>
    <row r="5" spans="1:10" ht="17.25" customHeight="1">
      <c r="A5" s="426" t="s">
        <v>292</v>
      </c>
      <c r="B5" s="425"/>
      <c r="C5" s="425"/>
      <c r="D5" s="425"/>
      <c r="E5" s="425"/>
      <c r="F5" s="425"/>
      <c r="G5" s="425"/>
      <c r="H5" s="425"/>
      <c r="I5" s="425"/>
      <c r="J5" s="461"/>
    </row>
    <row r="6" spans="1:10" ht="21.75" customHeight="1">
      <c r="A6" s="74"/>
      <c r="B6" s="76"/>
      <c r="C6" s="76"/>
      <c r="D6" s="76"/>
      <c r="E6" s="76"/>
      <c r="F6" s="76"/>
      <c r="G6" s="76"/>
      <c r="H6" s="76"/>
      <c r="I6" s="76"/>
      <c r="J6" s="77"/>
    </row>
    <row r="7" spans="1:10" ht="15.75">
      <c r="A7" s="121" t="s">
        <v>280</v>
      </c>
      <c r="B7" s="455"/>
      <c r="C7" s="455"/>
      <c r="D7" s="455"/>
      <c r="E7" s="455"/>
      <c r="F7" s="455"/>
      <c r="G7" s="455"/>
      <c r="H7" s="456">
        <v>1</v>
      </c>
      <c r="I7" s="457"/>
      <c r="J7" s="457"/>
    </row>
    <row r="8" spans="1:10" s="27" customFormat="1" ht="15.75">
      <c r="A8" s="464" t="s">
        <v>94</v>
      </c>
      <c r="B8" s="467">
        <v>2010</v>
      </c>
      <c r="C8" s="468"/>
      <c r="D8" s="469"/>
      <c r="E8" s="467">
        <v>2011</v>
      </c>
      <c r="F8" s="468"/>
      <c r="G8" s="469"/>
      <c r="H8" s="467">
        <v>2012</v>
      </c>
      <c r="I8" s="468"/>
      <c r="J8" s="469"/>
    </row>
    <row r="9" spans="1:10" ht="15.75" customHeight="1">
      <c r="A9" s="465"/>
      <c r="B9" s="244" t="s">
        <v>95</v>
      </c>
      <c r="C9" s="245" t="s">
        <v>95</v>
      </c>
      <c r="D9" s="245" t="s">
        <v>96</v>
      </c>
      <c r="E9" s="245" t="s">
        <v>95</v>
      </c>
      <c r="F9" s="245" t="s">
        <v>95</v>
      </c>
      <c r="G9" s="245" t="s">
        <v>96</v>
      </c>
      <c r="H9" s="244" t="s">
        <v>95</v>
      </c>
      <c r="I9" s="245" t="s">
        <v>95</v>
      </c>
      <c r="J9" s="246" t="s">
        <v>96</v>
      </c>
    </row>
    <row r="10" spans="1:10" ht="15.75" customHeight="1">
      <c r="A10" s="465"/>
      <c r="B10" s="247" t="s">
        <v>97</v>
      </c>
      <c r="C10" s="248" t="s">
        <v>98</v>
      </c>
      <c r="D10" s="248" t="s">
        <v>99</v>
      </c>
      <c r="E10" s="248" t="s">
        <v>97</v>
      </c>
      <c r="F10" s="248" t="s">
        <v>98</v>
      </c>
      <c r="G10" s="248" t="s">
        <v>100</v>
      </c>
      <c r="H10" s="247" t="s">
        <v>97</v>
      </c>
      <c r="I10" s="248" t="s">
        <v>98</v>
      </c>
      <c r="J10" s="249" t="s">
        <v>101</v>
      </c>
    </row>
    <row r="11" spans="1:10" ht="15.75" customHeight="1">
      <c r="A11" s="466"/>
      <c r="B11" s="250" t="s">
        <v>102</v>
      </c>
      <c r="C11" s="251"/>
      <c r="D11" s="252" t="s">
        <v>103</v>
      </c>
      <c r="E11" s="252" t="s">
        <v>104</v>
      </c>
      <c r="F11" s="251"/>
      <c r="G11" s="252" t="s">
        <v>103</v>
      </c>
      <c r="H11" s="250" t="s">
        <v>105</v>
      </c>
      <c r="I11" s="251"/>
      <c r="J11" s="253" t="s">
        <v>103</v>
      </c>
    </row>
    <row r="12" spans="1:10" ht="15.75">
      <c r="A12" s="254" t="s">
        <v>230</v>
      </c>
      <c r="B12" s="68">
        <f>Projeções!G13+Projeções!G17+Projeções!G25+Projeções!G32</f>
        <v>1423708</v>
      </c>
      <c r="C12" s="68">
        <f>B12/(1+Parâmetros!E12)</f>
        <v>1362400</v>
      </c>
      <c r="D12" s="69">
        <f>B12/(Parâmetros!E21)/1000000</f>
        <v>6.324864391795537E-06</v>
      </c>
      <c r="E12" s="68">
        <f>Projeções!H13+Projeções!H17+Projeções!H25+Projeções!H32</f>
        <v>1501569.3198</v>
      </c>
      <c r="F12" s="68">
        <f>E12/((1+Parâmetros!E12)*(1+Parâmetros!F12))</f>
        <v>1375032.0000000002</v>
      </c>
      <c r="G12" s="69">
        <f>E12/(Parâmetros!F21)/1000000</f>
        <v>6.0405878180062755E-06</v>
      </c>
      <c r="H12" s="68">
        <f>Projeções!I13+Projeções!I17+Projeções!I25+Projeções!I32</f>
        <v>1583827.47756607</v>
      </c>
      <c r="I12" s="68">
        <f>H12/((1+Parâmetros!E12)*(1+Parâmetros!F12)*(1+Parâmetros!G12))</f>
        <v>1387902.6400000001</v>
      </c>
      <c r="J12" s="69">
        <f>H12/(Parâmetros!G21)/1000000</f>
        <v>5.861316932561867E-06</v>
      </c>
    </row>
    <row r="13" spans="1:10" ht="15.75">
      <c r="A13" s="254" t="s">
        <v>231</v>
      </c>
      <c r="B13" s="68">
        <f>B12-Projeções!G17</f>
        <v>1026608</v>
      </c>
      <c r="C13" s="68">
        <f>B13/(1+Parâmetros!E12)</f>
        <v>982400.0000000001</v>
      </c>
      <c r="D13" s="69">
        <f>B13/(Parâmetros!E21)/1000000</f>
        <v>4.560736038241292E-06</v>
      </c>
      <c r="E13" s="68">
        <f>E12-Projeções!H17</f>
        <v>1086599.8198</v>
      </c>
      <c r="F13" s="68">
        <f>E13/((1+Parâmetros!E12)*(1+Parâmetros!F12))</f>
        <v>995032.0000000001</v>
      </c>
      <c r="G13" s="69">
        <f>E13/(Parâmetros!F21)/1000000</f>
        <v>4.371227853407354E-06</v>
      </c>
      <c r="H13" s="68">
        <f>H12-Projeções!I17</f>
        <v>1150184.35006607</v>
      </c>
      <c r="I13" s="68">
        <f>H13/((1+Parâmetros!E12)*(1+Parâmetros!F12)*(1+Parâmetros!G12))</f>
        <v>1007902.6400000001</v>
      </c>
      <c r="J13" s="69">
        <f>H13/(Parâmetros!G21)/1000000</f>
        <v>4.256521055544507E-06</v>
      </c>
    </row>
    <row r="14" spans="1:10" ht="15.75">
      <c r="A14" s="254" t="s">
        <v>232</v>
      </c>
      <c r="B14" s="68">
        <f>Projeções!G47+Projeções!G50+Projeções!G53+Projeções!G57+Projeções!G63</f>
        <v>1423708</v>
      </c>
      <c r="C14" s="68">
        <f>B14/(1+Parâmetros!E12)</f>
        <v>1362400</v>
      </c>
      <c r="D14" s="69">
        <f>B14/(Parâmetros!E21)/1000000</f>
        <v>6.324864391795537E-06</v>
      </c>
      <c r="E14" s="68">
        <f>Projeções!H47+Projeções!H50+Projeções!H53+Projeções!H57+Projeções!H63</f>
        <v>1501569.3198</v>
      </c>
      <c r="F14" s="68">
        <f>E14/((1+Parâmetros!E12)*(1+Parâmetros!F12))</f>
        <v>1375032.0000000002</v>
      </c>
      <c r="G14" s="69">
        <f>E14/(Parâmetros!F21)/1000000</f>
        <v>6.0405878180062755E-06</v>
      </c>
      <c r="H14" s="68">
        <f>Projeções!I47+Projeções!I50+Projeções!I53+Projeções!I57+Projeções!I63</f>
        <v>1583827.47756607</v>
      </c>
      <c r="I14" s="68">
        <f>H14/((1+Parâmetros!E12)*(1+Parâmetros!F12)*(1+Parâmetros!G12))</f>
        <v>1387902.6400000001</v>
      </c>
      <c r="J14" s="69">
        <f>H14/(Parâmetros!G21)/1000000</f>
        <v>5.861316932561867E-06</v>
      </c>
    </row>
    <row r="15" spans="1:10" ht="15.75">
      <c r="A15" s="254" t="s">
        <v>233</v>
      </c>
      <c r="B15" s="68">
        <f>B14-Projeções!G50</f>
        <v>1423708</v>
      </c>
      <c r="C15" s="68">
        <f>B15/(1+Parâmetros!E12)</f>
        <v>1362400</v>
      </c>
      <c r="D15" s="69">
        <f>B15/(Parâmetros!E21)/1000000</f>
        <v>6.324864391795537E-06</v>
      </c>
      <c r="E15" s="68">
        <f>E14-Projeções!H50</f>
        <v>1501569.3198</v>
      </c>
      <c r="F15" s="68">
        <f>E15/((1+Parâmetros!E12)*(1+Parâmetros!F12))</f>
        <v>1375032.0000000002</v>
      </c>
      <c r="G15" s="69">
        <f>E15/(Parâmetros!F21)/1000000</f>
        <v>6.0405878180062755E-06</v>
      </c>
      <c r="H15" s="68">
        <f>H14-Projeções!I50</f>
        <v>1583827.47756607</v>
      </c>
      <c r="I15" s="68">
        <f>H15/((1+Parâmetros!E12)*(1+Parâmetros!F12)*(1+Parâmetros!G12))</f>
        <v>1387902.6400000001</v>
      </c>
      <c r="J15" s="69">
        <f>H15/(Parâmetros!G21)/1000000</f>
        <v>5.861316932561867E-06</v>
      </c>
    </row>
    <row r="16" spans="1:10" ht="15.75">
      <c r="A16" s="255" t="s">
        <v>234</v>
      </c>
      <c r="B16" s="68">
        <f>B13-B15</f>
        <v>-397100</v>
      </c>
      <c r="C16" s="68">
        <f>C13-C15</f>
        <v>-379999.9999999999</v>
      </c>
      <c r="D16" s="69">
        <f>B16/(Parâmetros!E21)/1000000</f>
        <v>-1.7641283535542456E-06</v>
      </c>
      <c r="E16" s="68">
        <f>E13-E15</f>
        <v>-414969.5</v>
      </c>
      <c r="F16" s="68">
        <f>F13-F15</f>
        <v>-380000.0000000001</v>
      </c>
      <c r="G16" s="69">
        <f>E16/(Parâmetros!F21)/1000000</f>
        <v>-1.6693599645989218E-06</v>
      </c>
      <c r="H16" s="68">
        <f>H13-H15</f>
        <v>-433643.12749999994</v>
      </c>
      <c r="I16" s="68">
        <f>I13-I15</f>
        <v>-380000</v>
      </c>
      <c r="J16" s="69">
        <f>H16/(Parâmetros!G21)/1000000</f>
        <v>-1.6047958770173598E-06</v>
      </c>
    </row>
    <row r="17" spans="1:10" ht="12.75">
      <c r="A17" s="463" t="s">
        <v>346</v>
      </c>
      <c r="B17" s="463"/>
      <c r="C17" s="463"/>
      <c r="D17" s="463"/>
      <c r="E17" s="463"/>
      <c r="F17" s="463"/>
      <c r="G17" s="463"/>
      <c r="H17" s="463"/>
      <c r="I17" s="463"/>
      <c r="J17" s="463"/>
    </row>
    <row r="18" spans="1:10" ht="12.75">
      <c r="A18" s="256"/>
      <c r="B18" s="256"/>
      <c r="C18" s="256"/>
      <c r="D18" s="256"/>
      <c r="E18" s="256"/>
      <c r="F18" s="256"/>
      <c r="G18" s="256"/>
      <c r="H18" s="256"/>
      <c r="I18" s="256"/>
      <c r="J18" s="256"/>
    </row>
    <row r="19" spans="1:10" ht="12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</row>
    <row r="20" s="75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90" zoomScaleNormal="90" zoomScaleSheetLayoutView="90" zoomScalePageLayoutView="0" workbookViewId="0" topLeftCell="A4">
      <selection activeCell="I19" sqref="I19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13.421875" style="0" customWidth="1"/>
    <col min="4" max="4" width="12.140625" style="0" customWidth="1"/>
    <col min="5" max="6" width="12.8515625" style="0" customWidth="1"/>
    <col min="7" max="7" width="10.710937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12.75">
      <c r="A1" s="470" t="str">
        <f>Parâmetros!A7</f>
        <v>Município de : J A G U A R I - RS</v>
      </c>
      <c r="B1" s="471"/>
      <c r="C1" s="471"/>
      <c r="D1" s="471"/>
      <c r="E1" s="471"/>
      <c r="F1" s="471"/>
      <c r="G1" s="471"/>
      <c r="H1" s="471"/>
      <c r="I1" s="471"/>
      <c r="J1" s="472"/>
    </row>
    <row r="2" spans="1:10" ht="12.75">
      <c r="A2" s="473" t="s">
        <v>42</v>
      </c>
      <c r="B2" s="471"/>
      <c r="C2" s="471"/>
      <c r="D2" s="471"/>
      <c r="E2" s="471"/>
      <c r="F2" s="471"/>
      <c r="G2" s="471"/>
      <c r="H2" s="471"/>
      <c r="I2" s="471"/>
      <c r="J2" s="472"/>
    </row>
    <row r="3" spans="1:10" ht="12.75">
      <c r="A3" s="473" t="s">
        <v>167</v>
      </c>
      <c r="B3" s="471"/>
      <c r="C3" s="471"/>
      <c r="D3" s="471"/>
      <c r="E3" s="471"/>
      <c r="F3" s="471"/>
      <c r="G3" s="471"/>
      <c r="H3" s="471"/>
      <c r="I3" s="471"/>
      <c r="J3" s="472"/>
    </row>
    <row r="4" spans="1:10" ht="12.75">
      <c r="A4" s="474" t="s">
        <v>237</v>
      </c>
      <c r="B4" s="475"/>
      <c r="C4" s="475"/>
      <c r="D4" s="475"/>
      <c r="E4" s="475"/>
      <c r="F4" s="475"/>
      <c r="G4" s="475"/>
      <c r="H4" s="475"/>
      <c r="I4" s="475"/>
      <c r="J4" s="476"/>
    </row>
    <row r="5" spans="1:10" ht="17.25" customHeight="1">
      <c r="A5" s="473" t="s">
        <v>292</v>
      </c>
      <c r="B5" s="471"/>
      <c r="C5" s="471"/>
      <c r="D5" s="471"/>
      <c r="E5" s="471"/>
      <c r="F5" s="471"/>
      <c r="G5" s="471"/>
      <c r="H5" s="471"/>
      <c r="I5" s="471"/>
      <c r="J5" s="472"/>
    </row>
    <row r="6" spans="1:10" ht="21.75" customHeight="1">
      <c r="A6" s="74"/>
      <c r="B6" s="76"/>
      <c r="C6" s="76"/>
      <c r="D6" s="76"/>
      <c r="E6" s="76"/>
      <c r="F6" s="76"/>
      <c r="G6" s="76"/>
      <c r="H6" s="76"/>
      <c r="I6" s="76"/>
      <c r="J6" s="77"/>
    </row>
    <row r="7" spans="1:10" ht="15.75">
      <c r="A7" s="121" t="s">
        <v>280</v>
      </c>
      <c r="B7" s="455"/>
      <c r="C7" s="455"/>
      <c r="D7" s="455"/>
      <c r="E7" s="455"/>
      <c r="F7" s="455"/>
      <c r="G7" s="455"/>
      <c r="H7" s="456">
        <v>1</v>
      </c>
      <c r="I7" s="457"/>
      <c r="J7" s="457"/>
    </row>
    <row r="8" spans="1:10" s="27" customFormat="1" ht="12.75">
      <c r="A8" s="477" t="s">
        <v>94</v>
      </c>
      <c r="B8" s="480">
        <v>2010</v>
      </c>
      <c r="C8" s="481"/>
      <c r="D8" s="482"/>
      <c r="E8" s="480">
        <v>2011</v>
      </c>
      <c r="F8" s="481"/>
      <c r="G8" s="482"/>
      <c r="H8" s="480">
        <v>2012</v>
      </c>
      <c r="I8" s="481"/>
      <c r="J8" s="482"/>
    </row>
    <row r="9" spans="1:10" ht="15.75" customHeight="1">
      <c r="A9" s="478"/>
      <c r="B9" s="28" t="s">
        <v>95</v>
      </c>
      <c r="C9" s="29" t="s">
        <v>95</v>
      </c>
      <c r="D9" s="29" t="s">
        <v>96</v>
      </c>
      <c r="E9" s="29" t="s">
        <v>95</v>
      </c>
      <c r="F9" s="29" t="s">
        <v>95</v>
      </c>
      <c r="G9" s="29" t="s">
        <v>96</v>
      </c>
      <c r="H9" s="28" t="s">
        <v>95</v>
      </c>
      <c r="I9" s="29" t="s">
        <v>95</v>
      </c>
      <c r="J9" s="241" t="s">
        <v>96</v>
      </c>
    </row>
    <row r="10" spans="1:10" ht="15.75" customHeight="1">
      <c r="A10" s="478"/>
      <c r="B10" s="30" t="s">
        <v>97</v>
      </c>
      <c r="C10" s="31" t="s">
        <v>98</v>
      </c>
      <c r="D10" s="31" t="s">
        <v>99</v>
      </c>
      <c r="E10" s="31" t="s">
        <v>97</v>
      </c>
      <c r="F10" s="31" t="s">
        <v>98</v>
      </c>
      <c r="G10" s="31" t="s">
        <v>100</v>
      </c>
      <c r="H10" s="30" t="s">
        <v>97</v>
      </c>
      <c r="I10" s="31" t="s">
        <v>98</v>
      </c>
      <c r="J10" s="242" t="s">
        <v>101</v>
      </c>
    </row>
    <row r="11" spans="1:10" ht="15.75" customHeight="1">
      <c r="A11" s="479"/>
      <c r="B11" s="32" t="s">
        <v>102</v>
      </c>
      <c r="C11" s="33"/>
      <c r="D11" s="34" t="s">
        <v>103</v>
      </c>
      <c r="E11" s="34" t="s">
        <v>104</v>
      </c>
      <c r="F11" s="33"/>
      <c r="G11" s="34" t="s">
        <v>103</v>
      </c>
      <c r="H11" s="32" t="s">
        <v>105</v>
      </c>
      <c r="I11" s="33"/>
      <c r="J11" s="243" t="s">
        <v>103</v>
      </c>
    </row>
    <row r="12" spans="1:10" ht="15.75">
      <c r="A12" s="239" t="s">
        <v>238</v>
      </c>
      <c r="B12" s="68">
        <f>Metas!B12-MetasRPPS!B12</f>
        <v>13762951.094051998</v>
      </c>
      <c r="C12" s="68">
        <f>B12/(1+Parâmetros!E12)</f>
        <v>13170288.128279425</v>
      </c>
      <c r="D12" s="69">
        <f>B12/(Parâmetros!E21)/1000000</f>
        <v>6.11423123988858E-05</v>
      </c>
      <c r="E12" s="68">
        <f>Metas!E12-MetasRPPS!E12</f>
        <v>14894864.11685016</v>
      </c>
      <c r="F12" s="68">
        <f>E12/((1+Parâmetros!E12)*(1+Parâmetros!F12))</f>
        <v>13639673.191410603</v>
      </c>
      <c r="G12" s="69">
        <f>E12/(Parâmetros!F21)/1000000</f>
        <v>5.9919800936721216E-05</v>
      </c>
      <c r="H12" s="258">
        <f>Metas!H12-MetasRPPS!H12</f>
        <v>16121628.598211244</v>
      </c>
      <c r="I12" s="68">
        <f>H12/((1+Parâmetros!E12)*(1+Parâmetros!F12)*(1+Parâmetros!G12))</f>
        <v>14127328.39244702</v>
      </c>
      <c r="J12" s="69">
        <f>H12/(Parâmetros!G21)/1000000</f>
        <v>5.966178515123491E-05</v>
      </c>
    </row>
    <row r="13" spans="1:10" ht="15.75">
      <c r="A13" s="239" t="s">
        <v>168</v>
      </c>
      <c r="B13" s="68">
        <f>Metas!B13-MetasRPPS!B13</f>
        <v>13743388.694051998</v>
      </c>
      <c r="C13" s="68">
        <f>B13/(1+Parâmetros!E12)</f>
        <v>13151568.128279425</v>
      </c>
      <c r="D13" s="69">
        <f>B13/(Parâmetros!E21)/1000000</f>
        <v>6.105540586525809E-05</v>
      </c>
      <c r="E13" s="68">
        <f>Metas!E13-MetasRPPS!E13</f>
        <v>14873603.70053016</v>
      </c>
      <c r="F13" s="68">
        <f>E13/((1+Parâmetros!E12)*(1+Parâmetros!F12))</f>
        <v>13620204.391410602</v>
      </c>
      <c r="G13" s="69">
        <f>E13/(Parâmetros!F21)/1000000</f>
        <v>5.983427347546126E-05</v>
      </c>
      <c r="H13" s="258">
        <f>Metas!H13-MetasRPPS!H13</f>
        <v>16098522.777754668</v>
      </c>
      <c r="I13" s="68">
        <f>H13/((1+Parâmetros!E12)*(1+Parâmetros!F12)*(1+Parâmetros!G12))</f>
        <v>14107080.840447022</v>
      </c>
      <c r="J13" s="69">
        <f>H13/(Parâmetros!G21)/1000000</f>
        <v>5.9576276761842034E-05</v>
      </c>
    </row>
    <row r="14" spans="1:10" ht="15.75">
      <c r="A14" s="239" t="s">
        <v>239</v>
      </c>
      <c r="B14" s="68">
        <f>Metas!B14-MetasRPPS!B14</f>
        <v>13762951.094051998</v>
      </c>
      <c r="C14" s="68">
        <f>B14/(1+Parâmetros!E12)</f>
        <v>13170288.128279425</v>
      </c>
      <c r="D14" s="69">
        <f>B14/(Parâmetros!E21)/1000000</f>
        <v>6.11423123988858E-05</v>
      </c>
      <c r="E14" s="68">
        <f>Metas!E14-MetasRPPS!E14</f>
        <v>14894864.11685016</v>
      </c>
      <c r="F14" s="68">
        <f>E14/((1+Parâmetros!E12)*(1+Parâmetros!F12))</f>
        <v>13639673.191410603</v>
      </c>
      <c r="G14" s="69">
        <f>E14/(Parâmetros!F21)/1000000</f>
        <v>5.9919800936721216E-05</v>
      </c>
      <c r="H14" s="258">
        <f>Metas!H14-MetasRPPS!H14</f>
        <v>16121628.598211244</v>
      </c>
      <c r="I14" s="68">
        <f>H14/((1+Parâmetros!E12)*(1+Parâmetros!F12)*(1+Parâmetros!G12))</f>
        <v>14127328.39244702</v>
      </c>
      <c r="J14" s="69">
        <f>H14/(Parâmetros!G21)/1000000</f>
        <v>5.966178515123491E-05</v>
      </c>
    </row>
    <row r="15" spans="1:10" ht="15.75">
      <c r="A15" s="239" t="s">
        <v>240</v>
      </c>
      <c r="B15" s="68">
        <f>Metas!B15-MetasRPPS!B15</f>
        <v>13537130.804051999</v>
      </c>
      <c r="C15" s="68">
        <f>B15/(1+Parâmetros!E12)</f>
        <v>12954192.156987559</v>
      </c>
      <c r="D15" s="69">
        <f>B15/(Parâmetros!E21)/1000000</f>
        <v>6.013909916192574E-05</v>
      </c>
      <c r="E15" s="68">
        <f>Metas!E15-MetasRPPS!E15</f>
        <v>14646303.72364716</v>
      </c>
      <c r="F15" s="68">
        <f>E15/((1+Parâmetros!E12)*(1+Parâmetros!F12))</f>
        <v>13412058.994663276</v>
      </c>
      <c r="G15" s="69">
        <f>E15/(Parâmetros!F21)/1000000</f>
        <v>5.891987981192035E-05</v>
      </c>
      <c r="H15" s="258">
        <f>Metas!H15-MetasRPPS!H15</f>
        <v>15848237.021727264</v>
      </c>
      <c r="I15" s="68">
        <f>H15/((1+Parâmetros!E12)*(1+Parâmetros!F12)*(1+Parâmetros!G12))</f>
        <v>13887756.282396892</v>
      </c>
      <c r="J15" s="69">
        <f>H15/(Parâmetros!G21)/1000000</f>
        <v>5.865003690266439E-05</v>
      </c>
    </row>
    <row r="16" spans="1:10" ht="15.75">
      <c r="A16" s="240" t="s">
        <v>106</v>
      </c>
      <c r="B16" s="68">
        <f>B13-B15</f>
        <v>206257.88999999873</v>
      </c>
      <c r="C16" s="68">
        <f>C13-C15</f>
        <v>197375.97129186615</v>
      </c>
      <c r="D16" s="69">
        <f>B16/(Parâmetros!E21)/1000000</f>
        <v>9.163067033323356E-07</v>
      </c>
      <c r="E16" s="68">
        <f>E13-E15</f>
        <v>227299.97688299976</v>
      </c>
      <c r="F16" s="68">
        <f>F13-F15</f>
        <v>208145.39674732648</v>
      </c>
      <c r="G16" s="69">
        <f>E16/(Parâmetros!F21)/1000000</f>
        <v>9.143936635409114E-07</v>
      </c>
      <c r="H16" s="259">
        <f>H13-H15</f>
        <v>250285.75602740422</v>
      </c>
      <c r="I16" s="260">
        <f>I13-I15</f>
        <v>219324.55805012956</v>
      </c>
      <c r="J16" s="261">
        <f>H16/(Parâmetros!G21)/1000000</f>
        <v>9.262398591776395E-07</v>
      </c>
    </row>
    <row r="17" spans="1:10" ht="12.75">
      <c r="A17" s="463" t="s">
        <v>358</v>
      </c>
      <c r="B17" s="463"/>
      <c r="C17" s="463"/>
      <c r="D17" s="463"/>
      <c r="E17" s="463"/>
      <c r="F17" s="463"/>
      <c r="G17" s="463"/>
      <c r="H17" s="463"/>
      <c r="I17" s="463"/>
      <c r="J17" s="463"/>
    </row>
    <row r="18" s="75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2"/>
  <dimension ref="A1:I22"/>
  <sheetViews>
    <sheetView view="pageBreakPreview" zoomScaleNormal="90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24.140625" style="36" customWidth="1"/>
    <col min="2" max="2" width="23.7109375" style="36" customWidth="1"/>
    <col min="3" max="3" width="14.28125" style="36" customWidth="1"/>
    <col min="4" max="4" width="17.28125" style="36" customWidth="1"/>
    <col min="5" max="5" width="11.140625" style="36" customWidth="1"/>
    <col min="6" max="6" width="19.00390625" style="36" customWidth="1"/>
    <col min="7" max="7" width="15.57421875" style="36" customWidth="1"/>
    <col min="8" max="8" width="9.140625" style="36" hidden="1" customWidth="1"/>
    <col min="9" max="16384" width="9.140625" style="36" customWidth="1"/>
  </cols>
  <sheetData>
    <row r="1" spans="1:7" ht="15">
      <c r="A1" s="438" t="str">
        <f>Parâmetros!A7</f>
        <v>Município de : J A G U A R I - RS</v>
      </c>
      <c r="B1" s="441"/>
      <c r="C1" s="441"/>
      <c r="D1" s="441"/>
      <c r="E1" s="441"/>
      <c r="F1" s="441"/>
      <c r="G1" s="496"/>
    </row>
    <row r="2" spans="1:7" ht="15">
      <c r="A2" s="440" t="s">
        <v>42</v>
      </c>
      <c r="B2" s="441"/>
      <c r="C2" s="441"/>
      <c r="D2" s="441"/>
      <c r="E2" s="441"/>
      <c r="F2" s="441"/>
      <c r="G2" s="496"/>
    </row>
    <row r="3" spans="1:7" ht="15">
      <c r="A3" s="440" t="s">
        <v>167</v>
      </c>
      <c r="B3" s="441"/>
      <c r="C3" s="441"/>
      <c r="D3" s="441"/>
      <c r="E3" s="441"/>
      <c r="F3" s="441"/>
      <c r="G3" s="496"/>
    </row>
    <row r="4" spans="1:9" ht="15.75">
      <c r="A4" s="500" t="s">
        <v>351</v>
      </c>
      <c r="B4" s="501"/>
      <c r="C4" s="501"/>
      <c r="D4" s="501"/>
      <c r="E4" s="501"/>
      <c r="F4" s="501"/>
      <c r="G4" s="501"/>
      <c r="H4" s="501"/>
      <c r="I4" s="339"/>
    </row>
    <row r="5" spans="1:7" ht="15">
      <c r="A5" s="440" t="s">
        <v>292</v>
      </c>
      <c r="B5" s="441"/>
      <c r="C5" s="441"/>
      <c r="D5" s="441"/>
      <c r="E5" s="441"/>
      <c r="F5" s="441"/>
      <c r="G5" s="496"/>
    </row>
    <row r="6" spans="1:7" ht="12.75">
      <c r="A6" s="497"/>
      <c r="B6" s="498"/>
      <c r="C6" s="498"/>
      <c r="D6" s="498"/>
      <c r="E6" s="498"/>
      <c r="F6" s="498"/>
      <c r="G6" s="499"/>
    </row>
    <row r="7" spans="1:7" ht="12.75" customHeight="1">
      <c r="A7" s="494" t="s">
        <v>281</v>
      </c>
      <c r="B7" s="495"/>
      <c r="C7" s="37"/>
      <c r="D7" s="37"/>
      <c r="E7" s="37"/>
      <c r="F7" s="484">
        <v>1</v>
      </c>
      <c r="G7" s="485"/>
    </row>
    <row r="8" spans="1:7" ht="12.75">
      <c r="A8" s="486" t="s">
        <v>94</v>
      </c>
      <c r="B8" s="486" t="s">
        <v>155</v>
      </c>
      <c r="C8" s="486" t="s">
        <v>96</v>
      </c>
      <c r="D8" s="486" t="s">
        <v>156</v>
      </c>
      <c r="E8" s="486" t="s">
        <v>96</v>
      </c>
      <c r="F8" s="490" t="s">
        <v>107</v>
      </c>
      <c r="G8" s="491"/>
    </row>
    <row r="9" spans="1:7" ht="19.5" customHeight="1">
      <c r="A9" s="487"/>
      <c r="B9" s="489"/>
      <c r="C9" s="487"/>
      <c r="D9" s="487"/>
      <c r="E9" s="487"/>
      <c r="F9" s="492"/>
      <c r="G9" s="493"/>
    </row>
    <row r="10" spans="1:7" ht="30">
      <c r="A10" s="488"/>
      <c r="B10" s="272" t="s">
        <v>293</v>
      </c>
      <c r="C10" s="38"/>
      <c r="D10" s="272" t="s">
        <v>294</v>
      </c>
      <c r="E10" s="38"/>
      <c r="F10" s="38" t="s">
        <v>163</v>
      </c>
      <c r="G10" s="271" t="s">
        <v>108</v>
      </c>
    </row>
    <row r="11" spans="1:7" ht="15">
      <c r="A11" s="287" t="s">
        <v>44</v>
      </c>
      <c r="B11" s="263">
        <f>Plano!E68</f>
        <v>12535000</v>
      </c>
      <c r="C11" s="264">
        <f>B11/(Parâmetros!C21)/1000000</f>
        <v>6.478370975244199E-05</v>
      </c>
      <c r="D11" s="265">
        <f>Plano!E34</f>
        <v>13314838.340000002</v>
      </c>
      <c r="E11" s="264">
        <f>D11/(Parâmetros!E21)/1000000</f>
        <v>5.915155839482535E-05</v>
      </c>
      <c r="F11" s="266">
        <f aca="true" t="shared" si="0" ref="F11:F18">D11-B11</f>
        <v>779838.3400000017</v>
      </c>
      <c r="G11" s="267">
        <f>IF(B11=0,"-",(F11/B11))</f>
        <v>0.062212871160750034</v>
      </c>
    </row>
    <row r="12" spans="1:7" ht="15">
      <c r="A12" s="287" t="s">
        <v>174</v>
      </c>
      <c r="B12" s="263">
        <f>B11-(Plano!E69+Plano!E70+Plano!E71+Plano!E72)</f>
        <v>12475000</v>
      </c>
      <c r="C12" s="264">
        <f>B12/(Parâmetros!C21)/1000000</f>
        <v>6.447361620755595E-05</v>
      </c>
      <c r="D12" s="265">
        <f>D11-(Plano!E14+Plano!E26+Plano!E27+Plano!E28)</f>
        <v>12995664.340000002</v>
      </c>
      <c r="E12" s="264">
        <f>D12/(Parâmetros!E21)/1000000</f>
        <v>5.773361857332618E-05</v>
      </c>
      <c r="F12" s="263">
        <f t="shared" si="0"/>
        <v>520664.3400000017</v>
      </c>
      <c r="G12" s="273">
        <f aca="true" t="shared" si="1" ref="G12:G18">IF(B12=0,"-",(F12/B12))</f>
        <v>0.0417366204408819</v>
      </c>
    </row>
    <row r="13" spans="1:7" ht="15">
      <c r="A13" s="287" t="s">
        <v>45</v>
      </c>
      <c r="B13" s="263">
        <f>Plano!E73</f>
        <v>11115000</v>
      </c>
      <c r="C13" s="264">
        <f>B13/(Parâmetros!C21)/1000000</f>
        <v>5.7444829190139024E-05</v>
      </c>
      <c r="D13" s="265">
        <f>Plano!E65</f>
        <v>14170718.77</v>
      </c>
      <c r="E13" s="264">
        <f>D13/(Parâmetros!E21)/1000000</f>
        <v>6.295383221455639E-05</v>
      </c>
      <c r="F13" s="266">
        <f t="shared" si="0"/>
        <v>3055718.7699999996</v>
      </c>
      <c r="G13" s="267">
        <f t="shared" si="1"/>
        <v>0.2749184678362573</v>
      </c>
    </row>
    <row r="14" spans="1:7" ht="15">
      <c r="A14" s="287" t="s">
        <v>170</v>
      </c>
      <c r="B14" s="263">
        <f>B13-(Plano!E74+Plano!E75+Plano!E76)</f>
        <v>11115000</v>
      </c>
      <c r="C14" s="264">
        <f>B14/(Parâmetros!C21)/1000000</f>
        <v>5.7444829190139024E-05</v>
      </c>
      <c r="D14" s="265">
        <f>D13-(Plano!E47+Plano!E58+Plano!E60)</f>
        <v>13996657.18</v>
      </c>
      <c r="E14" s="264">
        <f>D14/(Parâmetros!E21)/1000000</f>
        <v>6.218055851477363E-05</v>
      </c>
      <c r="F14" s="263">
        <f t="shared" si="0"/>
        <v>2881657.1799999997</v>
      </c>
      <c r="G14" s="273">
        <f t="shared" si="1"/>
        <v>0.2592584057579847</v>
      </c>
    </row>
    <row r="15" spans="1:7" ht="15" customHeight="1">
      <c r="A15" s="287" t="s">
        <v>109</v>
      </c>
      <c r="B15" s="263">
        <f>B12-B14</f>
        <v>1360000</v>
      </c>
      <c r="C15" s="264">
        <f>B15/(Parâmetros!C21)/1000000</f>
        <v>7.028787017416921E-06</v>
      </c>
      <c r="D15" s="265">
        <f>D12-D14</f>
        <v>-1000992.839999998</v>
      </c>
      <c r="E15" s="264">
        <f>D15/(Parâmetros!E21)/1000000</f>
        <v>-4.446939941447456E-06</v>
      </c>
      <c r="F15" s="263">
        <f t="shared" si="0"/>
        <v>-2360992.839999998</v>
      </c>
      <c r="G15" s="273">
        <f t="shared" si="1"/>
        <v>-1.736024147058822</v>
      </c>
    </row>
    <row r="16" spans="1:7" ht="15" customHeight="1">
      <c r="A16" s="287" t="s">
        <v>43</v>
      </c>
      <c r="B16" s="268">
        <v>-1000000</v>
      </c>
      <c r="C16" s="269">
        <f>B16/(Parâmetros!C21)/1000000</f>
        <v>-5.168225748100677E-06</v>
      </c>
      <c r="D16" s="265">
        <f>Dívida!C12</f>
        <v>1163226.54</v>
      </c>
      <c r="E16" s="264">
        <f>D16/(Parâmetros!E21)/1000000</f>
        <v>5.167667894285575E-06</v>
      </c>
      <c r="F16" s="266">
        <f t="shared" si="0"/>
        <v>2163226.54</v>
      </c>
      <c r="G16" s="270">
        <f t="shared" si="1"/>
        <v>-2.16322654</v>
      </c>
    </row>
    <row r="17" spans="1:7" ht="15">
      <c r="A17" s="287" t="s">
        <v>116</v>
      </c>
      <c r="B17" s="268">
        <v>1000000</v>
      </c>
      <c r="C17" s="269">
        <f>B17/(Parâmetros!C21)/1000000</f>
        <v>5.168225748100677E-06</v>
      </c>
      <c r="D17" s="265">
        <f>Dívida!C7</f>
        <v>2019616.8</v>
      </c>
      <c r="E17" s="264">
        <f>D17/(Parâmetros!E21)/1000000</f>
        <v>8.972206648689232E-06</v>
      </c>
      <c r="F17" s="266">
        <f t="shared" si="0"/>
        <v>1019616.8</v>
      </c>
      <c r="G17" s="270">
        <f t="shared" si="1"/>
        <v>1.0196168</v>
      </c>
    </row>
    <row r="18" spans="1:7" ht="15">
      <c r="A18" s="287" t="s">
        <v>352</v>
      </c>
      <c r="B18" s="268">
        <v>1000000</v>
      </c>
      <c r="C18" s="269">
        <f>B18/(Parâmetros!C21)/1000000</f>
        <v>5.168225748100677E-06</v>
      </c>
      <c r="D18" s="265">
        <f>Dívida!C9</f>
        <v>1175849.06</v>
      </c>
      <c r="E18" s="264">
        <f>D18/(Parâmetros!E21)/1000000</f>
        <v>5.223743808224899E-06</v>
      </c>
      <c r="F18" s="266">
        <f t="shared" si="0"/>
        <v>175849.06000000006</v>
      </c>
      <c r="G18" s="270">
        <f t="shared" si="1"/>
        <v>0.17584906000000006</v>
      </c>
    </row>
    <row r="19" spans="1:7" ht="12.75">
      <c r="A19" s="483" t="s">
        <v>347</v>
      </c>
      <c r="B19" s="483"/>
      <c r="C19" s="483"/>
      <c r="D19" s="483"/>
      <c r="E19" s="483"/>
      <c r="F19" s="483"/>
      <c r="G19" s="483"/>
    </row>
    <row r="20" spans="1:7" ht="12.75">
      <c r="A20" s="274"/>
      <c r="B20" s="274"/>
      <c r="C20" s="274"/>
      <c r="D20" s="274"/>
      <c r="E20" s="274"/>
      <c r="F20" s="274"/>
      <c r="G20" s="274"/>
    </row>
    <row r="21" spans="1:7" ht="12.75">
      <c r="A21" s="274"/>
      <c r="B21" s="274"/>
      <c r="C21" s="274"/>
      <c r="D21" s="274"/>
      <c r="E21" s="274"/>
      <c r="F21" s="274"/>
      <c r="G21" s="274"/>
    </row>
    <row r="22" spans="1:7" ht="12.75">
      <c r="A22" s="274"/>
      <c r="B22" s="274"/>
      <c r="C22" s="274"/>
      <c r="D22" s="274"/>
      <c r="E22" s="274"/>
      <c r="F22" s="274"/>
      <c r="G22" s="274"/>
    </row>
  </sheetData>
  <sheetProtection/>
  <mergeCells count="15">
    <mergeCell ref="A5:G5"/>
    <mergeCell ref="A6:G6"/>
    <mergeCell ref="A1:G1"/>
    <mergeCell ref="A2:G2"/>
    <mergeCell ref="A3:G3"/>
    <mergeCell ref="A4:H4"/>
    <mergeCell ref="A19:G19"/>
    <mergeCell ref="F7:G7"/>
    <mergeCell ref="A8:A10"/>
    <mergeCell ref="B8:B9"/>
    <mergeCell ref="C8:C9"/>
    <mergeCell ref="D8:D9"/>
    <mergeCell ref="E8:E9"/>
    <mergeCell ref="F8:G9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3"/>
  <dimension ref="A1:L29"/>
  <sheetViews>
    <sheetView zoomScaleSheetLayoutView="100" zoomScalePageLayoutView="0" workbookViewId="0" topLeftCell="A1">
      <selection activeCell="H45" sqref="H45"/>
    </sheetView>
  </sheetViews>
  <sheetFormatPr defaultColWidth="9.140625" defaultRowHeight="12.75"/>
  <cols>
    <col min="1" max="1" width="25.28125" style="36" customWidth="1"/>
    <col min="2" max="2" width="14.28125" style="36" customWidth="1"/>
    <col min="3" max="3" width="14.7109375" style="36" customWidth="1"/>
    <col min="4" max="4" width="10.28125" style="36" customWidth="1"/>
    <col min="5" max="5" width="14.28125" style="36" customWidth="1"/>
    <col min="6" max="6" width="10.28125" style="36" customWidth="1"/>
    <col min="7" max="7" width="14.140625" style="36" customWidth="1"/>
    <col min="8" max="8" width="11.00390625" style="36" customWidth="1"/>
    <col min="9" max="9" width="13.140625" style="36" customWidth="1"/>
    <col min="10" max="10" width="10.7109375" style="36" customWidth="1"/>
    <col min="11" max="11" width="12.8515625" style="36" customWidth="1"/>
    <col min="12" max="12" width="9.7109375" style="36" customWidth="1"/>
    <col min="13" max="16384" width="9.140625" style="36" customWidth="1"/>
  </cols>
  <sheetData>
    <row r="1" spans="1:12" ht="12.75" customHeight="1">
      <c r="A1" s="438" t="str">
        <f>Parâmetros!A7</f>
        <v>Município de : J A G U A R I - RS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96"/>
    </row>
    <row r="2" spans="1:12" ht="15">
      <c r="A2" s="440" t="s">
        <v>42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96"/>
    </row>
    <row r="3" spans="1:12" ht="15">
      <c r="A3" s="440" t="s">
        <v>359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96"/>
    </row>
    <row r="4" spans="1:12" ht="15.75">
      <c r="A4" s="442" t="s">
        <v>171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512"/>
    </row>
    <row r="5" spans="1:12" ht="15">
      <c r="A5" s="440" t="s">
        <v>292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96"/>
    </row>
    <row r="6" spans="1:12" ht="12.75">
      <c r="A6" s="510" t="s">
        <v>282</v>
      </c>
      <c r="B6" s="511"/>
      <c r="C6" s="41"/>
      <c r="D6" s="41"/>
      <c r="E6" s="41"/>
      <c r="F6" s="41"/>
      <c r="G6" s="41"/>
      <c r="H6" s="41"/>
      <c r="I6" s="41"/>
      <c r="J6" s="41"/>
      <c r="K6" s="41"/>
      <c r="L6" s="42">
        <v>1</v>
      </c>
    </row>
    <row r="7" spans="1:12" ht="15.75" customHeight="1">
      <c r="A7" s="275" t="s">
        <v>94</v>
      </c>
      <c r="B7" s="505" t="s">
        <v>111</v>
      </c>
      <c r="C7" s="504"/>
      <c r="D7" s="504"/>
      <c r="E7" s="504"/>
      <c r="F7" s="504"/>
      <c r="G7" s="504"/>
      <c r="H7" s="504"/>
      <c r="I7" s="504"/>
      <c r="J7" s="504"/>
      <c r="K7" s="504"/>
      <c r="L7" s="506"/>
    </row>
    <row r="8" spans="1:12" s="40" customFormat="1" ht="15.75" customHeight="1">
      <c r="A8" s="507"/>
      <c r="B8" s="509">
        <v>2007</v>
      </c>
      <c r="C8" s="509">
        <v>2008</v>
      </c>
      <c r="D8" s="509" t="s">
        <v>165</v>
      </c>
      <c r="E8" s="509">
        <v>2009</v>
      </c>
      <c r="F8" s="509" t="s">
        <v>165</v>
      </c>
      <c r="G8" s="502">
        <v>2010</v>
      </c>
      <c r="H8" s="502" t="s">
        <v>165</v>
      </c>
      <c r="I8" s="502">
        <v>2011</v>
      </c>
      <c r="J8" s="502" t="s">
        <v>166</v>
      </c>
      <c r="K8" s="502">
        <v>2012</v>
      </c>
      <c r="L8" s="502" t="s">
        <v>165</v>
      </c>
    </row>
    <row r="9" spans="1:12" s="40" customFormat="1" ht="15.75" customHeight="1">
      <c r="A9" s="508"/>
      <c r="B9" s="508"/>
      <c r="C9" s="508"/>
      <c r="D9" s="508"/>
      <c r="E9" s="508"/>
      <c r="F9" s="508"/>
      <c r="G9" s="503"/>
      <c r="H9" s="503"/>
      <c r="I9" s="503"/>
      <c r="J9" s="503"/>
      <c r="K9" s="503"/>
      <c r="L9" s="503"/>
    </row>
    <row r="10" spans="1:12" ht="12.75">
      <c r="A10" s="276" t="s">
        <v>112</v>
      </c>
      <c r="B10" s="278">
        <f>Plano!D68</f>
        <v>11846500</v>
      </c>
      <c r="C10" s="70">
        <f>Plano!E68</f>
        <v>12535000</v>
      </c>
      <c r="D10" s="71">
        <f aca="true" t="shared" si="0" ref="D10:D17">IF(B10=0,"0",(C10/B10)-1)</f>
        <v>0.058118431604271326</v>
      </c>
      <c r="E10" s="70">
        <f>Plano!F68</f>
        <v>12535000</v>
      </c>
      <c r="F10" s="71">
        <f aca="true" t="shared" si="1" ref="F10:F17">IF(C10=0,"0",(E10/C10)-1)</f>
        <v>0</v>
      </c>
      <c r="G10" s="46">
        <f>IF(Metas!B12=0,"0",(Metas!B12))</f>
        <v>15186659.094051998</v>
      </c>
      <c r="H10" s="72">
        <f>IF(E10=0,"0",(G10/E10)-1)</f>
        <v>0.21154041436394078</v>
      </c>
      <c r="I10" s="46">
        <f>IF(Metas!E12=0,"0",(Metas!E12))</f>
        <v>16396433.43665016</v>
      </c>
      <c r="J10" s="71">
        <f>IF(G10=0,"-",(I10/G10)-1)</f>
        <v>0.07966033444919973</v>
      </c>
      <c r="K10" s="46">
        <f>IF(Metas!H12=0,"0",(Metas!H12))</f>
        <v>17705456.075777315</v>
      </c>
      <c r="L10" s="71">
        <f>IF(I10=0,"-",(K10/I10)-1)</f>
        <v>0.07983581576961485</v>
      </c>
    </row>
    <row r="11" spans="1:12" ht="12.75">
      <c r="A11" s="276" t="s">
        <v>174</v>
      </c>
      <c r="B11" s="278">
        <f>B10-(Plano!D69+Plano!D70+Plano!D71+Plano!D72)</f>
        <v>11665500</v>
      </c>
      <c r="C11" s="70">
        <f>C10-(Plano!E69+Plano!E70+Plano!E71+Plano!E72)</f>
        <v>12475000</v>
      </c>
      <c r="D11" s="71">
        <f t="shared" si="0"/>
        <v>0.06939265355106938</v>
      </c>
      <c r="E11" s="70">
        <f>E10-(Plano!F69+Plano!F70+Plano!F71+Plano!F72)</f>
        <v>12529000</v>
      </c>
      <c r="F11" s="71">
        <f t="shared" si="1"/>
        <v>0.004328657314629281</v>
      </c>
      <c r="G11" s="46">
        <f>IF(Metas!B13=0,"0",(Metas!B13))</f>
        <v>14769996.694051998</v>
      </c>
      <c r="H11" s="72">
        <f aca="true" t="shared" si="2" ref="H11:H17">IF(E11=0,"0",(G11/E11)-1)</f>
        <v>0.1788647692594778</v>
      </c>
      <c r="I11" s="46">
        <f>IF(Metas!E13=0,"0",(Metas!E13))</f>
        <v>15960203.52033016</v>
      </c>
      <c r="J11" s="71">
        <f aca="true" t="shared" si="3" ref="J11:J17">IF(G11=0,"-",(I11/G11)-1)</f>
        <v>0.08058274154912093</v>
      </c>
      <c r="K11" s="46">
        <f>IF(Metas!H13=0,"0",(Metas!H13))</f>
        <v>17248707.127820738</v>
      </c>
      <c r="L11" s="71">
        <f aca="true" t="shared" si="4" ref="L11:L17">IF(I11=0,"-",(K11/I11)-1)</f>
        <v>0.08073227925002824</v>
      </c>
    </row>
    <row r="12" spans="1:12" ht="12.75">
      <c r="A12" s="276" t="s">
        <v>113</v>
      </c>
      <c r="B12" s="278">
        <f>Plano!D73</f>
        <v>8850000</v>
      </c>
      <c r="C12" s="70">
        <f>Plano!E73</f>
        <v>11115000</v>
      </c>
      <c r="D12" s="71">
        <f t="shared" si="0"/>
        <v>0.2559322033898306</v>
      </c>
      <c r="E12" s="70">
        <f>Plano!F73</f>
        <v>11685250</v>
      </c>
      <c r="F12" s="71">
        <f t="shared" si="1"/>
        <v>0.0513045434098065</v>
      </c>
      <c r="G12" s="46">
        <f>IF(Metas!B14=0,"0",(Metas!B14))</f>
        <v>15186659.094051998</v>
      </c>
      <c r="H12" s="72">
        <f t="shared" si="2"/>
        <v>0.2996434902164693</v>
      </c>
      <c r="I12" s="46">
        <f>IF(Metas!E14=0,"0",(Metas!E14))</f>
        <v>16396433.43665016</v>
      </c>
      <c r="J12" s="71">
        <f t="shared" si="3"/>
        <v>0.07966033444919973</v>
      </c>
      <c r="K12" s="46">
        <f>IF(Metas!H14=0,"0",(Metas!H14))</f>
        <v>17705456.075777315</v>
      </c>
      <c r="L12" s="71">
        <f t="shared" si="4"/>
        <v>0.07983581576961485</v>
      </c>
    </row>
    <row r="13" spans="1:12" ht="12.75">
      <c r="A13" s="276" t="s">
        <v>169</v>
      </c>
      <c r="B13" s="278">
        <f>B12-(Plano!D74+Plano!D75+Plano!D76)</f>
        <v>8837500</v>
      </c>
      <c r="C13" s="70">
        <f>C12-(Plano!E74+Plano!E75+Plano!E76)</f>
        <v>11115000</v>
      </c>
      <c r="D13" s="71">
        <f t="shared" si="0"/>
        <v>0.25770862800565775</v>
      </c>
      <c r="E13" s="70">
        <f>E12-(Plano!F74+Plano!F75+Plano!F76)</f>
        <v>11504250</v>
      </c>
      <c r="F13" s="71">
        <f t="shared" si="1"/>
        <v>0.03502024291497974</v>
      </c>
      <c r="G13" s="46">
        <f>IF(Metas!B15=0,"0",(Metas!B15))</f>
        <v>14960838.804051999</v>
      </c>
      <c r="H13" s="72">
        <f t="shared" si="2"/>
        <v>0.3004618992156811</v>
      </c>
      <c r="I13" s="46">
        <f>IF(Metas!E15=0,"0",(Metas!E15))</f>
        <v>16147873.043447161</v>
      </c>
      <c r="J13" s="71">
        <f t="shared" si="3"/>
        <v>0.07934275978387428</v>
      </c>
      <c r="K13" s="46">
        <f>IF(Metas!H15=0,"0",(Metas!H15))</f>
        <v>17432064.499293335</v>
      </c>
      <c r="L13" s="71">
        <f t="shared" si="4"/>
        <v>0.07952697252393248</v>
      </c>
    </row>
    <row r="14" spans="1:12" ht="12.75">
      <c r="A14" s="276" t="s">
        <v>114</v>
      </c>
      <c r="B14" s="278">
        <f>B11-B13</f>
        <v>2828000</v>
      </c>
      <c r="C14" s="70">
        <f>C11-C13</f>
        <v>1360000</v>
      </c>
      <c r="D14" s="71">
        <f t="shared" si="0"/>
        <v>-0.5190947666195191</v>
      </c>
      <c r="E14" s="70">
        <f>E11-E13</f>
        <v>1024750</v>
      </c>
      <c r="F14" s="71">
        <f t="shared" si="1"/>
        <v>-0.24650735294117643</v>
      </c>
      <c r="G14" s="46">
        <f>IF(Metas!B16=0,"0",(Metas!B16))</f>
        <v>-190842.11000000127</v>
      </c>
      <c r="H14" s="72">
        <f t="shared" si="2"/>
        <v>-1.1862328470358636</v>
      </c>
      <c r="I14" s="46">
        <f>IF(Metas!E16=0,"0",(Metas!E16))</f>
        <v>-187669.52311700024</v>
      </c>
      <c r="J14" s="71">
        <f t="shared" si="3"/>
        <v>-0.016624144865098223</v>
      </c>
      <c r="K14" s="46">
        <f>IF(Metas!H16=0,"0",(Metas!H16))</f>
        <v>-183357.37147259712</v>
      </c>
      <c r="L14" s="71">
        <f t="shared" si="4"/>
        <v>-0.022977367730160236</v>
      </c>
    </row>
    <row r="15" spans="1:12" ht="12.75">
      <c r="A15" s="276" t="s">
        <v>115</v>
      </c>
      <c r="B15" s="279">
        <v>-1000000</v>
      </c>
      <c r="C15" s="106">
        <v>-1000000</v>
      </c>
      <c r="D15" s="71">
        <f t="shared" si="0"/>
        <v>0</v>
      </c>
      <c r="E15" s="106">
        <v>-1000000</v>
      </c>
      <c r="F15" s="71">
        <f t="shared" si="1"/>
        <v>0</v>
      </c>
      <c r="G15" s="46">
        <f>IF(Metas!B17=0,"0",(Metas!B17))</f>
        <v>-621837.6699999999</v>
      </c>
      <c r="H15" s="72">
        <f t="shared" si="2"/>
        <v>-0.3781623300000001</v>
      </c>
      <c r="I15" s="46">
        <f>IF(Metas!E17=0,"0",(Metas!E17))</f>
        <v>-200896.37986966688</v>
      </c>
      <c r="J15" s="71">
        <f t="shared" si="3"/>
        <v>-0.6769311517109169</v>
      </c>
      <c r="K15" s="46">
        <f>IF(Metas!H17=0,"0",(Metas!H17))</f>
        <v>-173161.79203953524</v>
      </c>
      <c r="L15" s="71">
        <f t="shared" si="4"/>
        <v>-0.138054194147872</v>
      </c>
    </row>
    <row r="16" spans="1:12" ht="12.75">
      <c r="A16" s="276" t="s">
        <v>116</v>
      </c>
      <c r="B16" s="279">
        <v>1000000</v>
      </c>
      <c r="C16" s="106">
        <v>1000000</v>
      </c>
      <c r="D16" s="71">
        <f t="shared" si="0"/>
        <v>0</v>
      </c>
      <c r="E16" s="106">
        <v>1000000</v>
      </c>
      <c r="F16" s="71">
        <f t="shared" si="1"/>
        <v>0</v>
      </c>
      <c r="G16" s="46">
        <f>IF(Metas!B18=0,"0",(Metas!B18))</f>
        <v>1889462.77</v>
      </c>
      <c r="H16" s="72">
        <f t="shared" si="2"/>
        <v>0.88946277</v>
      </c>
      <c r="I16" s="46">
        <f>IF(Metas!E18=0,"0",(Metas!E18))</f>
        <v>1640902.376797</v>
      </c>
      <c r="J16" s="71">
        <f t="shared" si="3"/>
        <v>-0.1315508287061936</v>
      </c>
      <c r="K16" s="46">
        <f>IF(Metas!H18=0,"0",(Metas!H18))</f>
        <v>1367510.8003130201</v>
      </c>
      <c r="L16" s="71">
        <f t="shared" si="4"/>
        <v>-0.16661050672474087</v>
      </c>
    </row>
    <row r="17" spans="1:12" ht="12.75">
      <c r="A17" s="277" t="s">
        <v>110</v>
      </c>
      <c r="B17" s="280">
        <v>1000000</v>
      </c>
      <c r="C17" s="107">
        <v>1000000</v>
      </c>
      <c r="D17" s="281">
        <f t="shared" si="0"/>
        <v>0</v>
      </c>
      <c r="E17" s="107">
        <v>1000000</v>
      </c>
      <c r="F17" s="281">
        <f t="shared" si="1"/>
        <v>0</v>
      </c>
      <c r="G17" s="282">
        <f>IF(Metas!B19=0,"0",(Metas!B19))</f>
        <v>1298720.37</v>
      </c>
      <c r="H17" s="283">
        <f t="shared" si="2"/>
        <v>0.29872037000000007</v>
      </c>
      <c r="I17" s="282">
        <f>IF(Metas!E19=0,"0",(Metas!E19))</f>
        <v>1097823.9901303332</v>
      </c>
      <c r="J17" s="281">
        <f t="shared" si="3"/>
        <v>-0.15468794092269988</v>
      </c>
      <c r="K17" s="282">
        <f>IF(Metas!H19=0,"0",(Metas!H19))</f>
        <v>924662.198090798</v>
      </c>
      <c r="L17" s="281">
        <f t="shared" si="4"/>
        <v>-0.1577318346076383</v>
      </c>
    </row>
    <row r="18" spans="1:12" ht="12.75">
      <c r="A18" s="504"/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</row>
    <row r="19" spans="1:12" ht="15.75" customHeight="1">
      <c r="A19" s="275" t="s">
        <v>94</v>
      </c>
      <c r="B19" s="505" t="s">
        <v>117</v>
      </c>
      <c r="C19" s="504"/>
      <c r="D19" s="504"/>
      <c r="E19" s="504"/>
      <c r="F19" s="504"/>
      <c r="G19" s="504"/>
      <c r="H19" s="504"/>
      <c r="I19" s="504"/>
      <c r="J19" s="504"/>
      <c r="K19" s="504"/>
      <c r="L19" s="506"/>
    </row>
    <row r="20" spans="1:12" s="40" customFormat="1" ht="15.75" customHeight="1">
      <c r="A20" s="507"/>
      <c r="B20" s="509">
        <v>2007</v>
      </c>
      <c r="C20" s="509">
        <v>2008</v>
      </c>
      <c r="D20" s="509" t="s">
        <v>165</v>
      </c>
      <c r="E20" s="509">
        <v>2009</v>
      </c>
      <c r="F20" s="502" t="s">
        <v>165</v>
      </c>
      <c r="G20" s="502">
        <v>2010</v>
      </c>
      <c r="H20" s="502" t="s">
        <v>165</v>
      </c>
      <c r="I20" s="502">
        <v>2011</v>
      </c>
      <c r="J20" s="502" t="s">
        <v>165</v>
      </c>
      <c r="K20" s="502">
        <v>2012</v>
      </c>
      <c r="L20" s="502" t="s">
        <v>165</v>
      </c>
    </row>
    <row r="21" spans="1:12" s="40" customFormat="1" ht="15.75" customHeight="1">
      <c r="A21" s="508"/>
      <c r="B21" s="508"/>
      <c r="C21" s="508"/>
      <c r="D21" s="508"/>
      <c r="E21" s="508"/>
      <c r="F21" s="503"/>
      <c r="G21" s="503"/>
      <c r="H21" s="503"/>
      <c r="I21" s="503"/>
      <c r="J21" s="503"/>
      <c r="K21" s="503"/>
      <c r="L21" s="503"/>
    </row>
    <row r="22" spans="1:12" ht="12.75">
      <c r="A22" s="276" t="s">
        <v>112</v>
      </c>
      <c r="B22" s="284">
        <f>B10*((1+Parâmetros!C12)*(1+Parâmetros!D12))</f>
        <v>13109988.4575</v>
      </c>
      <c r="C22" s="70">
        <f>C10*(1+Parâmetros!D12)</f>
        <v>13099075</v>
      </c>
      <c r="D22" s="71">
        <f>IF(B22=0,"-",(C22/B22)-1)</f>
        <v>-0.0008324536314717745</v>
      </c>
      <c r="E22" s="70">
        <f>E10</f>
        <v>12535000</v>
      </c>
      <c r="F22" s="71">
        <f>IF(C22=0,"-",(E22/C22)-1)</f>
        <v>-0.0430622009569378</v>
      </c>
      <c r="G22" s="46">
        <f>Metas!C12</f>
        <v>14532688.128279425</v>
      </c>
      <c r="H22" s="71">
        <f>IF(E22=0,"-",(G22/E22)-1)</f>
        <v>0.15936881757314914</v>
      </c>
      <c r="I22" s="46">
        <f>Metas!F12</f>
        <v>15014705.191410603</v>
      </c>
      <c r="J22" s="71">
        <f>IF(G22=0,"-",(I22/G22)-1)</f>
        <v>0.033167784161913794</v>
      </c>
      <c r="K22" s="46">
        <f>Metas!I12</f>
        <v>15515231.032447021</v>
      </c>
      <c r="L22" s="71">
        <f>IF(I22=0,"-",(K22/I22)-1)</f>
        <v>0.03333570887044468</v>
      </c>
    </row>
    <row r="23" spans="1:12" ht="12.75">
      <c r="A23" s="276" t="s">
        <v>174</v>
      </c>
      <c r="B23" s="284">
        <f>B11*((1+Parâmetros!C12)*(1+Parâmetros!D12))</f>
        <v>12909683.9025</v>
      </c>
      <c r="C23" s="70">
        <f>C11*(1+Parâmetros!D12)</f>
        <v>13036375</v>
      </c>
      <c r="D23" s="71">
        <f aca="true" t="shared" si="5" ref="D23:D29">IF(B23=0,"-",(C23/B23)-1)</f>
        <v>0.009813648301293165</v>
      </c>
      <c r="E23" s="70">
        <f>E11</f>
        <v>12529000</v>
      </c>
      <c r="F23" s="71">
        <f>IF(C23=0,"-",(E23/C23)-1)</f>
        <v>-0.03891994515346486</v>
      </c>
      <c r="G23" s="44">
        <f>Metas!C13</f>
        <v>14133968.128279425</v>
      </c>
      <c r="H23" s="71">
        <f aca="true" t="shared" si="6" ref="H23:H29">IF(E23=0,"-",(G23/E23)-1)</f>
        <v>0.12810025766457223</v>
      </c>
      <c r="I23" s="44">
        <f>Metas!F13</f>
        <v>14615236.391410602</v>
      </c>
      <c r="J23" s="71">
        <f aca="true" t="shared" si="7" ref="J23:J29">IF(G23=0,"-",(I23/G23)-1)</f>
        <v>0.034050470381933984</v>
      </c>
      <c r="K23" s="44">
        <f>Metas!I13</f>
        <v>15114983.48044702</v>
      </c>
      <c r="L23" s="71">
        <f aca="true" t="shared" si="8" ref="L23:L29">IF(I23=0,"-",(K23/I23)-1)</f>
        <v>0.03419356866031409</v>
      </c>
    </row>
    <row r="24" spans="1:12" ht="12.75">
      <c r="A24" s="276" t="s">
        <v>113</v>
      </c>
      <c r="B24" s="284">
        <f>B12*((1+Parâmetros!C12)*(1+Parâmetros!D12))</f>
        <v>9793896.75</v>
      </c>
      <c r="C24" s="70">
        <f>C12*(1+Parâmetros!D12)</f>
        <v>11615175</v>
      </c>
      <c r="D24" s="71">
        <f t="shared" si="5"/>
        <v>0.18596053200172857</v>
      </c>
      <c r="E24" s="70">
        <f>E12</f>
        <v>11685250</v>
      </c>
      <c r="F24" s="71">
        <f aca="true" t="shared" si="9" ref="F24:F29">IF(C24=0,"-",(E24/C24)-1)</f>
        <v>0.006033055894551831</v>
      </c>
      <c r="G24" s="44">
        <f>Metas!C14</f>
        <v>14532688.128279425</v>
      </c>
      <c r="H24" s="71">
        <f t="shared" si="6"/>
        <v>0.24367798106839178</v>
      </c>
      <c r="I24" s="44">
        <f>Metas!F14</f>
        <v>15014705.191410603</v>
      </c>
      <c r="J24" s="71">
        <f t="shared" si="7"/>
        <v>0.033167784161913794</v>
      </c>
      <c r="K24" s="44">
        <f>Metas!I14</f>
        <v>15515231.032447021</v>
      </c>
      <c r="L24" s="71">
        <f t="shared" si="8"/>
        <v>0.03333570887044468</v>
      </c>
    </row>
    <row r="25" spans="1:12" ht="12.75">
      <c r="A25" s="276" t="s">
        <v>169</v>
      </c>
      <c r="B25" s="284">
        <f>B13*((1+Parâmetros!C12)*(1+Parâmetros!D12))</f>
        <v>9780063.5625</v>
      </c>
      <c r="C25" s="70">
        <f>C13*(1+Parâmetros!D12)</f>
        <v>11615175</v>
      </c>
      <c r="D25" s="71">
        <f t="shared" si="5"/>
        <v>0.1876379867853235</v>
      </c>
      <c r="E25" s="70">
        <f>E13</f>
        <v>11504250</v>
      </c>
      <c r="F25" s="71">
        <f t="shared" si="9"/>
        <v>-0.009550006779923681</v>
      </c>
      <c r="G25" s="44">
        <f>Metas!C15</f>
        <v>14316592.156987559</v>
      </c>
      <c r="H25" s="71">
        <f t="shared" si="6"/>
        <v>0.2444611475748144</v>
      </c>
      <c r="I25" s="44">
        <f>Metas!F15</f>
        <v>14787090.994663276</v>
      </c>
      <c r="J25" s="71">
        <f t="shared" si="7"/>
        <v>0.032863884960645295</v>
      </c>
      <c r="K25" s="44">
        <f>Metas!I15</f>
        <v>15275658.922396893</v>
      </c>
      <c r="L25" s="71">
        <f t="shared" si="8"/>
        <v>0.033040165094672336</v>
      </c>
    </row>
    <row r="26" spans="1:12" ht="12.75">
      <c r="A26" s="276" t="s">
        <v>114</v>
      </c>
      <c r="B26" s="284">
        <f>B23-B25</f>
        <v>3129620.34</v>
      </c>
      <c r="C26" s="44">
        <f>C23-C25</f>
        <v>1421200</v>
      </c>
      <c r="D26" s="71">
        <f t="shared" si="5"/>
        <v>-0.5458874094613022</v>
      </c>
      <c r="E26" s="44">
        <f>E23-E25</f>
        <v>1024750</v>
      </c>
      <c r="F26" s="71">
        <f t="shared" si="9"/>
        <v>-0.2789544047283985</v>
      </c>
      <c r="G26" s="44">
        <f>Metas!C16</f>
        <v>-182624.02870813385</v>
      </c>
      <c r="H26" s="71">
        <f t="shared" si="6"/>
        <v>-1.1782132507520213</v>
      </c>
      <c r="I26" s="44">
        <f>Metas!F16</f>
        <v>-171854.60325267352</v>
      </c>
      <c r="J26" s="71">
        <f t="shared" si="7"/>
        <v>-0.058970473555108205</v>
      </c>
      <c r="K26" s="44">
        <f>Metas!I16</f>
        <v>-160675.4419498723</v>
      </c>
      <c r="L26" s="71">
        <f t="shared" si="8"/>
        <v>-0.06505011266043759</v>
      </c>
    </row>
    <row r="27" spans="1:12" ht="12.75">
      <c r="A27" s="276" t="s">
        <v>115</v>
      </c>
      <c r="B27" s="284">
        <f>B15*((1+Parâmetros!C12)*(1+Parâmetros!D12))</f>
        <v>-1106655</v>
      </c>
      <c r="C27" s="70">
        <f>C15*(1+Parâmetros!D12)</f>
        <v>-1044999.9999999999</v>
      </c>
      <c r="D27" s="71">
        <f t="shared" si="5"/>
        <v>-0.05571293673276689</v>
      </c>
      <c r="E27" s="70">
        <f>E15</f>
        <v>-1000000</v>
      </c>
      <c r="F27" s="71">
        <f t="shared" si="9"/>
        <v>-0.04306220095693769</v>
      </c>
      <c r="G27" s="44">
        <f>Metas!C17</f>
        <v>-595059.971291866</v>
      </c>
      <c r="H27" s="71">
        <f t="shared" si="6"/>
        <v>-0.40494002870813395</v>
      </c>
      <c r="I27" s="44">
        <f>Metas!F17</f>
        <v>-183966.83214181627</v>
      </c>
      <c r="J27" s="71">
        <f t="shared" si="7"/>
        <v>-0.690843207378868</v>
      </c>
      <c r="K27" s="44">
        <f>Metas!I17</f>
        <v>-151741.09031630718</v>
      </c>
      <c r="L27" s="71">
        <f t="shared" si="8"/>
        <v>-0.17517147765346597</v>
      </c>
    </row>
    <row r="28" spans="1:12" ht="12.75">
      <c r="A28" s="276" t="s">
        <v>116</v>
      </c>
      <c r="B28" s="284">
        <f>B16*((1+Parâmetros!C12)*(1+Parâmetros!D12))</f>
        <v>1106655</v>
      </c>
      <c r="C28" s="70">
        <f>C16*(1+Parâmetros!D12)</f>
        <v>1044999.9999999999</v>
      </c>
      <c r="D28" s="71">
        <f t="shared" si="5"/>
        <v>-0.05571293673276689</v>
      </c>
      <c r="E28" s="70">
        <f>E16</f>
        <v>1000000</v>
      </c>
      <c r="F28" s="71">
        <f t="shared" si="9"/>
        <v>-0.04306220095693769</v>
      </c>
      <c r="G28" s="44">
        <f>Metas!C18</f>
        <v>1808098.3444976078</v>
      </c>
      <c r="H28" s="71">
        <f t="shared" si="6"/>
        <v>0.8080983444976078</v>
      </c>
      <c r="I28" s="44">
        <f>Metas!F18</f>
        <v>1502623.4534896181</v>
      </c>
      <c r="J28" s="71">
        <f t="shared" si="7"/>
        <v>-0.1689481614413335</v>
      </c>
      <c r="K28" s="44">
        <f>Metas!I18</f>
        <v>1198345.0703227108</v>
      </c>
      <c r="L28" s="71">
        <f t="shared" si="8"/>
        <v>-0.20249809255956064</v>
      </c>
    </row>
    <row r="29" spans="1:12" ht="12.75">
      <c r="A29" s="277" t="s">
        <v>110</v>
      </c>
      <c r="B29" s="285">
        <f>B17*((1+Parâmetros!C12)*(1+Parâmetros!D12))</f>
        <v>1106655</v>
      </c>
      <c r="C29" s="286">
        <f>C17*(1+Parâmetros!D12)</f>
        <v>1044999.9999999999</v>
      </c>
      <c r="D29" s="281">
        <f t="shared" si="5"/>
        <v>-0.05571293673276689</v>
      </c>
      <c r="E29" s="286">
        <f>E17</f>
        <v>1000000</v>
      </c>
      <c r="F29" s="281">
        <f t="shared" si="9"/>
        <v>-0.04306220095693769</v>
      </c>
      <c r="G29" s="45">
        <f>Metas!C19</f>
        <v>1242794.6124401917</v>
      </c>
      <c r="H29" s="281">
        <f t="shared" si="6"/>
        <v>0.24279461244019163</v>
      </c>
      <c r="I29" s="282">
        <f>IF(Metas!F19=0,"0",(Metas!F19))</f>
        <v>1005310.3089492762</v>
      </c>
      <c r="J29" s="281">
        <f t="shared" si="7"/>
        <v>-0.19108893868200938</v>
      </c>
      <c r="K29" s="282">
        <f>IF(Metas!I19=0,"0",(Metas!I19))</f>
        <v>810278.3440849142</v>
      </c>
      <c r="L29" s="281">
        <f t="shared" si="8"/>
        <v>-0.19400175560539545</v>
      </c>
    </row>
  </sheetData>
  <sheetProtection/>
  <mergeCells count="33">
    <mergeCell ref="I8:I9"/>
    <mergeCell ref="A6:B6"/>
    <mergeCell ref="A1:L1"/>
    <mergeCell ref="A2:L2"/>
    <mergeCell ref="A3:L3"/>
    <mergeCell ref="A4:L4"/>
    <mergeCell ref="A5:L5"/>
    <mergeCell ref="E20:E21"/>
    <mergeCell ref="B7:L7"/>
    <mergeCell ref="A8:A9"/>
    <mergeCell ref="B8:B9"/>
    <mergeCell ref="C8:C9"/>
    <mergeCell ref="D8:D9"/>
    <mergeCell ref="E8:E9"/>
    <mergeCell ref="F8:F9"/>
    <mergeCell ref="G8:G9"/>
    <mergeCell ref="H8:H9"/>
    <mergeCell ref="L20:L21"/>
    <mergeCell ref="J8:J9"/>
    <mergeCell ref="K8:K9"/>
    <mergeCell ref="L8:L9"/>
    <mergeCell ref="A18:L18"/>
    <mergeCell ref="B19:L19"/>
    <mergeCell ref="A20:A21"/>
    <mergeCell ref="B20:B21"/>
    <mergeCell ref="C20:C21"/>
    <mergeCell ref="D20:D21"/>
    <mergeCell ref="G20:G21"/>
    <mergeCell ref="H20:H21"/>
    <mergeCell ref="F20:F21"/>
    <mergeCell ref="I20:I21"/>
    <mergeCell ref="J20:J21"/>
    <mergeCell ref="K20:K21"/>
  </mergeCells>
  <printOptions/>
  <pageMargins left="0.787401575" right="0.787401575" top="0.984251969" bottom="0.984251969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Jaguari</cp:lastModifiedBy>
  <cp:lastPrinted>2009-11-10T14:16:58Z</cp:lastPrinted>
  <dcterms:created xsi:type="dcterms:W3CDTF">2000-07-04T17:38:30Z</dcterms:created>
  <dcterms:modified xsi:type="dcterms:W3CDTF">2009-11-13T10:55:37Z</dcterms:modified>
  <cp:category/>
  <cp:version/>
  <cp:contentType/>
  <cp:contentStatus/>
</cp:coreProperties>
</file>